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njfsv001\4001126000\●2023年度\11_作業用フォルダ\管理係\06管理係　萩原\"/>
    </mc:Choice>
  </mc:AlternateContent>
  <bookViews>
    <workbookView xWindow="4650" yWindow="0" windowWidth="20490" windowHeight="7530"/>
  </bookViews>
  <sheets>
    <sheet name="入力シート" sheetId="3" r:id="rId1"/>
    <sheet name="日割" sheetId="7" state="hidden" r:id="rId2"/>
    <sheet name="料金計算内訳" sheetId="8" state="hidden" r:id="rId3"/>
    <sheet name="水道" sheetId="4" state="hidden" r:id="rId4"/>
    <sheet name="下水道" sheetId="5" state="hidden" r:id="rId5"/>
  </sheets>
  <definedNames>
    <definedName name="_xlnm.Print_Area" localSheetId="1">日割!$A$1:$I$45</definedName>
    <definedName name="_xlnm.Print_Area" localSheetId="0">入力シート!$A$1:$K$12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5" l="1"/>
  <c r="E20" i="4" l="1"/>
  <c r="E21" i="4"/>
  <c r="E22" i="4"/>
  <c r="E23" i="4"/>
  <c r="E24" i="4"/>
  <c r="E25" i="4"/>
  <c r="F5" i="7"/>
  <c r="F8" i="7"/>
  <c r="B3" i="4"/>
  <c r="F5" i="4"/>
  <c r="F6" i="4"/>
  <c r="G6" i="4" s="1"/>
  <c r="F7" i="4"/>
  <c r="G7" i="4" s="1"/>
  <c r="F8" i="4"/>
  <c r="G8" i="4" s="1"/>
  <c r="F9" i="4"/>
  <c r="F10" i="4"/>
  <c r="F11" i="4"/>
  <c r="H11" i="4" s="1"/>
  <c r="F12" i="4"/>
  <c r="F13" i="4"/>
  <c r="H13" i="4" s="1"/>
  <c r="F14" i="4"/>
  <c r="B18" i="4"/>
  <c r="F21" i="4" s="1"/>
  <c r="I21" i="4" s="1"/>
  <c r="H5" i="4" l="1"/>
  <c r="G5" i="4"/>
  <c r="H6" i="4"/>
  <c r="H9" i="4"/>
  <c r="H8" i="4"/>
  <c r="F23" i="4"/>
  <c r="F25" i="4"/>
  <c r="I25" i="4" s="1"/>
  <c r="M3" i="4"/>
  <c r="Q5" i="4" s="1"/>
  <c r="R5" i="4" s="1"/>
  <c r="F24" i="4"/>
  <c r="F22" i="4"/>
  <c r="I22" i="4" s="1"/>
  <c r="F15" i="4"/>
  <c r="F20" i="4"/>
  <c r="H14" i="4"/>
  <c r="H12" i="4"/>
  <c r="H10" i="4"/>
  <c r="H7" i="4"/>
  <c r="G21" i="4"/>
  <c r="H21" i="4"/>
  <c r="G14" i="4"/>
  <c r="G13" i="4"/>
  <c r="G12" i="4"/>
  <c r="G11" i="4"/>
  <c r="G10" i="4"/>
  <c r="G9" i="4"/>
  <c r="E5" i="7"/>
  <c r="F2" i="7"/>
  <c r="I15" i="4" l="1"/>
  <c r="H23" i="4"/>
  <c r="I23" i="4"/>
  <c r="H15" i="4"/>
  <c r="G20" i="4"/>
  <c r="I20" i="4"/>
  <c r="G24" i="4"/>
  <c r="I24" i="4"/>
  <c r="F26" i="4"/>
  <c r="G22" i="4"/>
  <c r="G23" i="4"/>
  <c r="H20" i="4"/>
  <c r="G15" i="4"/>
  <c r="H24" i="4"/>
  <c r="H25" i="4"/>
  <c r="G25" i="4"/>
  <c r="H22" i="4"/>
  <c r="E17" i="7"/>
  <c r="C17" i="7"/>
  <c r="I26" i="4" l="1"/>
  <c r="I28" i="4" s="1"/>
  <c r="I29" i="4" s="1"/>
  <c r="G26" i="4"/>
  <c r="H26" i="4"/>
  <c r="H28" i="4" s="1"/>
  <c r="H29" i="4" s="1"/>
  <c r="F17" i="7"/>
  <c r="E20" i="7"/>
  <c r="Q5" i="8" l="1"/>
  <c r="G16" i="8"/>
  <c r="G5" i="8"/>
  <c r="S5" i="8" l="1"/>
  <c r="S6" i="8" s="1"/>
  <c r="Q6" i="8"/>
  <c r="Q7" i="8" s="1"/>
  <c r="I5" i="8"/>
  <c r="I16" i="8"/>
  <c r="G6" i="8"/>
  <c r="G7" i="8" s="1"/>
  <c r="H7" i="8" s="1"/>
  <c r="G17" i="8"/>
  <c r="S7" i="8" l="1"/>
  <c r="S8" i="8" s="1"/>
  <c r="Q8" i="8"/>
  <c r="R8" i="8" s="1"/>
  <c r="R7" i="8"/>
  <c r="R6" i="8"/>
  <c r="H17" i="8"/>
  <c r="H6" i="8"/>
  <c r="I17" i="8"/>
  <c r="I18" i="8" s="1"/>
  <c r="J18" i="8" s="1"/>
  <c r="G18" i="8"/>
  <c r="H18" i="8" s="1"/>
  <c r="G8" i="8"/>
  <c r="H8" i="8" s="1"/>
  <c r="I6" i="8"/>
  <c r="I7" i="8" s="1"/>
  <c r="J7" i="8" s="1"/>
  <c r="F21" i="7"/>
  <c r="F20" i="7"/>
  <c r="H20" i="7" s="1"/>
  <c r="I20" i="7" s="1"/>
  <c r="F6" i="7"/>
  <c r="G5" i="7"/>
  <c r="F37" i="7"/>
  <c r="Q9" i="8" l="1"/>
  <c r="Q10" i="8" s="1"/>
  <c r="S9" i="8"/>
  <c r="S10" i="8" s="1"/>
  <c r="S11" i="8" s="1"/>
  <c r="T8" i="8"/>
  <c r="T6" i="8"/>
  <c r="G9" i="8"/>
  <c r="I8" i="8"/>
  <c r="J8" i="8" s="1"/>
  <c r="G19" i="8"/>
  <c r="I19" i="8"/>
  <c r="J19" i="8" s="1"/>
  <c r="J6" i="8"/>
  <c r="J17" i="8"/>
  <c r="H5" i="7"/>
  <c r="I5" i="7" s="1"/>
  <c r="G20" i="7"/>
  <c r="H21" i="7"/>
  <c r="F22" i="7"/>
  <c r="H6" i="7"/>
  <c r="H37" i="7"/>
  <c r="F7" i="7"/>
  <c r="G8" i="7" s="1"/>
  <c r="F38" i="7"/>
  <c r="F39" i="7" s="1"/>
  <c r="G39" i="7" s="1"/>
  <c r="R9" i="8" l="1"/>
  <c r="Q11" i="8"/>
  <c r="R11" i="8" s="1"/>
  <c r="S12" i="8"/>
  <c r="R10" i="8"/>
  <c r="T7" i="8"/>
  <c r="T9" i="8"/>
  <c r="H19" i="8"/>
  <c r="G20" i="8"/>
  <c r="H20" i="8" s="1"/>
  <c r="H9" i="8"/>
  <c r="G10" i="8"/>
  <c r="I9" i="8"/>
  <c r="J9" i="8" s="1"/>
  <c r="I20" i="8"/>
  <c r="H22" i="7"/>
  <c r="I22" i="7" s="1"/>
  <c r="F23" i="7"/>
  <c r="F40" i="7"/>
  <c r="G40" i="7" s="1"/>
  <c r="G22" i="7"/>
  <c r="H38" i="7"/>
  <c r="F9" i="7"/>
  <c r="H7" i="7"/>
  <c r="G38" i="7"/>
  <c r="G7" i="7"/>
  <c r="F24" i="7" l="1"/>
  <c r="F25" i="7" s="1"/>
  <c r="H8" i="7"/>
  <c r="I8" i="7" s="1"/>
  <c r="Q12" i="8"/>
  <c r="Q13" i="8" s="1"/>
  <c r="R13" i="8" s="1"/>
  <c r="S13" i="8"/>
  <c r="T13" i="8" s="1"/>
  <c r="T10" i="8"/>
  <c r="I10" i="8"/>
  <c r="J10" i="8" s="1"/>
  <c r="H10" i="8"/>
  <c r="G11" i="8"/>
  <c r="H11" i="8" s="1"/>
  <c r="G21" i="8"/>
  <c r="H21" i="8" s="1"/>
  <c r="J20" i="8"/>
  <c r="I21" i="8"/>
  <c r="J21" i="8" s="1"/>
  <c r="G23" i="7"/>
  <c r="H23" i="7"/>
  <c r="H24" i="7" s="1"/>
  <c r="I24" i="7" s="1"/>
  <c r="F41" i="7"/>
  <c r="G41" i="7" s="1"/>
  <c r="G9" i="7"/>
  <c r="F10" i="7"/>
  <c r="I38" i="7"/>
  <c r="H39" i="7"/>
  <c r="H40" i="7" s="1"/>
  <c r="I7" i="7"/>
  <c r="O21" i="4"/>
  <c r="O22" i="4"/>
  <c r="O23" i="4"/>
  <c r="O24" i="4"/>
  <c r="O25" i="4"/>
  <c r="O20" i="4"/>
  <c r="O6" i="4"/>
  <c r="O7" i="4"/>
  <c r="O8" i="4"/>
  <c r="O9" i="4"/>
  <c r="O10" i="4"/>
  <c r="O5" i="4"/>
  <c r="F26" i="7" l="1"/>
  <c r="F27" i="7"/>
  <c r="F28" i="7"/>
  <c r="H12" i="8"/>
  <c r="H9" i="7"/>
  <c r="I9" i="7" s="1"/>
  <c r="R12" i="8"/>
  <c r="Q14" i="8"/>
  <c r="R14" i="8" s="1"/>
  <c r="S14" i="8"/>
  <c r="S15" i="8" s="1"/>
  <c r="T12" i="8"/>
  <c r="I11" i="8"/>
  <c r="J11" i="8" s="1"/>
  <c r="G12" i="8"/>
  <c r="G22" i="8"/>
  <c r="I22" i="8"/>
  <c r="J22" i="8" s="1"/>
  <c r="J23" i="8" s="1"/>
  <c r="F42" i="7"/>
  <c r="F43" i="7" s="1"/>
  <c r="G43" i="7" s="1"/>
  <c r="I23" i="7"/>
  <c r="H25" i="7"/>
  <c r="G24" i="7"/>
  <c r="I40" i="7"/>
  <c r="H41" i="7"/>
  <c r="I41" i="7" s="1"/>
  <c r="I39" i="7"/>
  <c r="G10" i="7"/>
  <c r="F11" i="7"/>
  <c r="J12" i="8" l="1"/>
  <c r="J13" i="8" s="1"/>
  <c r="I12" i="8"/>
  <c r="G25" i="7"/>
  <c r="G26" i="7"/>
  <c r="G42" i="7"/>
  <c r="G44" i="7" s="1"/>
  <c r="F44" i="7"/>
  <c r="H10" i="7"/>
  <c r="I10" i="7" s="1"/>
  <c r="R15" i="8"/>
  <c r="Q15" i="8"/>
  <c r="T11" i="8"/>
  <c r="T14" i="8"/>
  <c r="I23" i="8"/>
  <c r="I13" i="8"/>
  <c r="H22" i="8"/>
  <c r="H23" i="8" s="1"/>
  <c r="J24" i="8" s="1"/>
  <c r="G23" i="8"/>
  <c r="H26" i="7"/>
  <c r="H27" i="7" s="1"/>
  <c r="H42" i="7"/>
  <c r="I42" i="7" s="1"/>
  <c r="I25" i="7"/>
  <c r="G11" i="7"/>
  <c r="F12" i="7"/>
  <c r="P30" i="5"/>
  <c r="P29" i="5"/>
  <c r="P28" i="5"/>
  <c r="P27" i="5"/>
  <c r="P26" i="5"/>
  <c r="P25" i="5"/>
  <c r="P24" i="5"/>
  <c r="P23" i="5"/>
  <c r="P22" i="5"/>
  <c r="P15" i="5"/>
  <c r="P14" i="5"/>
  <c r="P13" i="5"/>
  <c r="P12" i="5"/>
  <c r="P11" i="5"/>
  <c r="P10" i="5"/>
  <c r="P9" i="5"/>
  <c r="P8" i="5"/>
  <c r="P7" i="5"/>
  <c r="P10" i="4"/>
  <c r="P9" i="4"/>
  <c r="P8" i="4"/>
  <c r="P7" i="4"/>
  <c r="P6" i="4"/>
  <c r="P5" i="4"/>
  <c r="P25" i="4"/>
  <c r="P24" i="4"/>
  <c r="P23" i="4"/>
  <c r="P22" i="4"/>
  <c r="P21" i="4"/>
  <c r="P20" i="4"/>
  <c r="I24" i="8" l="1"/>
  <c r="G27" i="7"/>
  <c r="H11" i="7"/>
  <c r="H12" i="7" s="1"/>
  <c r="I12" i="7" s="1"/>
  <c r="I26" i="7"/>
  <c r="T15" i="8"/>
  <c r="T16" i="8"/>
  <c r="S16" i="8"/>
  <c r="H28" i="7"/>
  <c r="I28" i="7" s="1"/>
  <c r="I27" i="7"/>
  <c r="H43" i="7"/>
  <c r="I43" i="7" s="1"/>
  <c r="I44" i="7" s="1"/>
  <c r="I45" i="7" s="1"/>
  <c r="G12" i="7"/>
  <c r="G13" i="7" s="1"/>
  <c r="F13" i="7"/>
  <c r="B5" i="5"/>
  <c r="E8" i="5"/>
  <c r="E9" i="5"/>
  <c r="E10" i="5"/>
  <c r="E11" i="5"/>
  <c r="E12" i="5"/>
  <c r="E13" i="5"/>
  <c r="E14" i="5"/>
  <c r="E15" i="5"/>
  <c r="E3" i="5"/>
  <c r="D3" i="5"/>
  <c r="M18" i="4"/>
  <c r="F29" i="7" l="1"/>
  <c r="G29" i="7" s="1"/>
  <c r="H13" i="7"/>
  <c r="H14" i="7" s="1"/>
  <c r="I11" i="7"/>
  <c r="I13" i="7" s="1"/>
  <c r="I14" i="7" s="1"/>
  <c r="H29" i="7"/>
  <c r="I29" i="7" s="1"/>
  <c r="H44" i="7"/>
  <c r="H45" i="7" s="1"/>
  <c r="Q22" i="4"/>
  <c r="Q25" i="4"/>
  <c r="Q21" i="4"/>
  <c r="Q23" i="4"/>
  <c r="Q24" i="4"/>
  <c r="Q20" i="4"/>
  <c r="F13" i="5"/>
  <c r="M20" i="5"/>
  <c r="M5" i="5"/>
  <c r="F10" i="5"/>
  <c r="F8" i="5"/>
  <c r="F12" i="5"/>
  <c r="F14" i="5"/>
  <c r="F7" i="5"/>
  <c r="F11" i="5"/>
  <c r="F15" i="5"/>
  <c r="F9" i="5"/>
  <c r="G28" i="7" l="1"/>
  <c r="H30" i="7"/>
  <c r="I30" i="7" s="1"/>
  <c r="I31" i="7" s="1"/>
  <c r="F30" i="7"/>
  <c r="G30" i="7" s="1"/>
  <c r="G31" i="7" s="1"/>
  <c r="I32" i="7" s="1"/>
  <c r="G13" i="5"/>
  <c r="Q29" i="5"/>
  <c r="Q25" i="5"/>
  <c r="Q26" i="5"/>
  <c r="Q28" i="5"/>
  <c r="Q24" i="5"/>
  <c r="Q30" i="5"/>
  <c r="Q27" i="5"/>
  <c r="Q23" i="5"/>
  <c r="T23" i="5" s="1"/>
  <c r="Q22" i="5"/>
  <c r="I13" i="5"/>
  <c r="Q9" i="4"/>
  <c r="S9" i="4" s="1"/>
  <c r="S5" i="4"/>
  <c r="Q6" i="4"/>
  <c r="R6" i="4" s="1"/>
  <c r="Q8" i="4"/>
  <c r="Q7" i="4"/>
  <c r="S7" i="4" s="1"/>
  <c r="Q10" i="4"/>
  <c r="Q14" i="5"/>
  <c r="Q7" i="5"/>
  <c r="Q11" i="5"/>
  <c r="Q9" i="5"/>
  <c r="Q8" i="5"/>
  <c r="Q15" i="5"/>
  <c r="Q12" i="5"/>
  <c r="Q13" i="5"/>
  <c r="Q10" i="5"/>
  <c r="S22" i="4"/>
  <c r="R22" i="4"/>
  <c r="R23" i="4"/>
  <c r="S23" i="4"/>
  <c r="Q26" i="4"/>
  <c r="S20" i="4"/>
  <c r="R20" i="4"/>
  <c r="S24" i="4"/>
  <c r="R24" i="4"/>
  <c r="R25" i="4"/>
  <c r="S25" i="4"/>
  <c r="R21" i="4"/>
  <c r="S21" i="4"/>
  <c r="F16" i="5"/>
  <c r="I7" i="5"/>
  <c r="G7" i="5"/>
  <c r="I9" i="5"/>
  <c r="G9" i="5"/>
  <c r="G15" i="5"/>
  <c r="I15" i="5"/>
  <c r="G12" i="5"/>
  <c r="I12" i="5"/>
  <c r="I10" i="5"/>
  <c r="G10" i="5"/>
  <c r="I14" i="5"/>
  <c r="G14" i="5"/>
  <c r="G11" i="5"/>
  <c r="I11" i="5"/>
  <c r="G8" i="5"/>
  <c r="I8" i="5"/>
  <c r="H31" i="7" l="1"/>
  <c r="F31" i="7"/>
  <c r="S8" i="4"/>
  <c r="S10" i="4"/>
  <c r="R10" i="4"/>
  <c r="Q11" i="4"/>
  <c r="S6" i="4"/>
  <c r="R23" i="5"/>
  <c r="R8" i="5"/>
  <c r="T8" i="5"/>
  <c r="R14" i="5"/>
  <c r="T14" i="5"/>
  <c r="R27" i="5"/>
  <c r="T27" i="5"/>
  <c r="R15" i="5"/>
  <c r="T15" i="5"/>
  <c r="R7" i="5"/>
  <c r="T7" i="5"/>
  <c r="Q16" i="5"/>
  <c r="R28" i="5"/>
  <c r="T28" i="5"/>
  <c r="R9" i="4"/>
  <c r="R10" i="5"/>
  <c r="T10" i="5"/>
  <c r="R26" i="5"/>
  <c r="T26" i="5"/>
  <c r="R7" i="4"/>
  <c r="R8" i="4"/>
  <c r="R13" i="5"/>
  <c r="T13" i="5"/>
  <c r="R9" i="5"/>
  <c r="T9" i="5"/>
  <c r="R30" i="5"/>
  <c r="T30" i="5"/>
  <c r="R25" i="5"/>
  <c r="T25" i="5"/>
  <c r="R12" i="5"/>
  <c r="T12" i="5"/>
  <c r="R11" i="5"/>
  <c r="T11" i="5"/>
  <c r="R22" i="5"/>
  <c r="Q31" i="5"/>
  <c r="T22" i="5"/>
  <c r="R24" i="5"/>
  <c r="T24" i="5"/>
  <c r="R29" i="5"/>
  <c r="T29" i="5"/>
  <c r="S26" i="4"/>
  <c r="S27" i="4" s="1"/>
  <c r="R26" i="4"/>
  <c r="R27" i="4" s="1"/>
  <c r="G16" i="5"/>
  <c r="G18" i="5" s="1"/>
  <c r="I16" i="5"/>
  <c r="I18" i="5" s="1"/>
  <c r="H32" i="7" l="1"/>
  <c r="S11" i="4"/>
  <c r="R11" i="4"/>
  <c r="T16" i="5"/>
  <c r="T18" i="5" s="1"/>
  <c r="R16" i="5"/>
  <c r="R18" i="5" s="1"/>
  <c r="R31" i="5"/>
  <c r="R33" i="5" s="1"/>
  <c r="T31" i="5"/>
  <c r="T33" i="5" s="1"/>
  <c r="S12" i="4" l="1"/>
  <c r="S29" i="4" s="1"/>
  <c r="H4" i="3" s="1"/>
  <c r="R12" i="4"/>
  <c r="R29" i="4" s="1"/>
  <c r="R35" i="5"/>
  <c r="T35" i="5"/>
  <c r="I4" i="3" s="1"/>
  <c r="J4" i="3" l="1"/>
</calcChain>
</file>

<file path=xl/sharedStrings.xml><?xml version="1.0" encoding="utf-8"?>
<sst xmlns="http://schemas.openxmlformats.org/spreadsheetml/2006/main" count="234" uniqueCount="98">
  <si>
    <t>基本料金</t>
    <rPh sb="0" eb="2">
      <t>キホン</t>
    </rPh>
    <rPh sb="2" eb="4">
      <t>リョウキン</t>
    </rPh>
    <phoneticPr fontId="2"/>
  </si>
  <si>
    <t>税抜</t>
    <rPh sb="0" eb="2">
      <t>ゼイヌキ</t>
    </rPh>
    <phoneticPr fontId="2"/>
  </si>
  <si>
    <t>500over</t>
    <phoneticPr fontId="2"/>
  </si>
  <si>
    <t>税抜金額</t>
    <rPh sb="0" eb="2">
      <t>ゼイヌキ</t>
    </rPh>
    <rPh sb="2" eb="4">
      <t>キンガク</t>
    </rPh>
    <phoneticPr fontId="2"/>
  </si>
  <si>
    <t>口径</t>
    <rPh sb="0" eb="2">
      <t>コウケイ</t>
    </rPh>
    <phoneticPr fontId="2"/>
  </si>
  <si>
    <t>水量</t>
    <rPh sb="0" eb="2">
      <t>スイリョウ</t>
    </rPh>
    <phoneticPr fontId="2"/>
  </si>
  <si>
    <t>合計</t>
    <rPh sb="0" eb="2">
      <t>ゴウケイ</t>
    </rPh>
    <phoneticPr fontId="2"/>
  </si>
  <si>
    <t>使用水量</t>
    <rPh sb="0" eb="2">
      <t>シヨウ</t>
    </rPh>
    <rPh sb="2" eb="4">
      <t>スイリョウ</t>
    </rPh>
    <phoneticPr fontId="2"/>
  </si>
  <si>
    <t>税込8</t>
    <rPh sb="0" eb="2">
      <t>ゼイコミ</t>
    </rPh>
    <phoneticPr fontId="2"/>
  </si>
  <si>
    <t>税込10</t>
    <rPh sb="0" eb="2">
      <t>ゼイコミ</t>
    </rPh>
    <phoneticPr fontId="2"/>
  </si>
  <si>
    <t>数量</t>
    <rPh sb="0" eb="2">
      <t>スウリョウ</t>
    </rPh>
    <phoneticPr fontId="2"/>
  </si>
  <si>
    <t>mm</t>
    <phoneticPr fontId="2"/>
  </si>
  <si>
    <t>入力値</t>
    <rPh sb="0" eb="3">
      <t>ニュウリョクチ</t>
    </rPh>
    <phoneticPr fontId="2"/>
  </si>
  <si>
    <t>口径入力値</t>
    <rPh sb="0" eb="2">
      <t>コウケイ</t>
    </rPh>
    <rPh sb="2" eb="5">
      <t>ニュウリョクチ</t>
    </rPh>
    <phoneticPr fontId="2"/>
  </si>
  <si>
    <t>10まで</t>
    <phoneticPr fontId="2"/>
  </si>
  <si>
    <t>20まで</t>
    <phoneticPr fontId="2"/>
  </si>
  <si>
    <t>50まで</t>
    <phoneticPr fontId="2"/>
  </si>
  <si>
    <t>100まで</t>
    <phoneticPr fontId="2"/>
  </si>
  <si>
    <t>500まで</t>
    <phoneticPr fontId="2"/>
  </si>
  <si>
    <t>税抜単価</t>
    <rPh sb="0" eb="2">
      <t>ゼイヌキ</t>
    </rPh>
    <rPh sb="2" eb="4">
      <t>タンカ</t>
    </rPh>
    <phoneticPr fontId="2"/>
  </si>
  <si>
    <t>税込単価8</t>
    <rPh sb="0" eb="2">
      <t>ゼイコミ</t>
    </rPh>
    <rPh sb="2" eb="4">
      <t>タンカ</t>
    </rPh>
    <phoneticPr fontId="2"/>
  </si>
  <si>
    <t>税込単価10</t>
    <rPh sb="0" eb="2">
      <t>ゼイコミ</t>
    </rPh>
    <rPh sb="2" eb="4">
      <t>タンカ</t>
    </rPh>
    <phoneticPr fontId="2"/>
  </si>
  <si>
    <t>基本料金込み</t>
    <rPh sb="0" eb="2">
      <t>キホン</t>
    </rPh>
    <rPh sb="2" eb="4">
      <t>リョウキン</t>
    </rPh>
    <rPh sb="4" eb="5">
      <t>コ</t>
    </rPh>
    <phoneticPr fontId="2"/>
  </si>
  <si>
    <t>㎥</t>
    <phoneticPr fontId="2"/>
  </si>
  <si>
    <t>1000over</t>
  </si>
  <si>
    <t>使用形態</t>
    <rPh sb="0" eb="2">
      <t>シヨウ</t>
    </rPh>
    <rPh sb="2" eb="4">
      <t>ケイタイ</t>
    </rPh>
    <phoneticPr fontId="2"/>
  </si>
  <si>
    <t>上下水</t>
  </si>
  <si>
    <t>1か月料金</t>
    <rPh sb="2" eb="3">
      <t>ゲツ</t>
    </rPh>
    <rPh sb="3" eb="5">
      <t>リョウキン</t>
    </rPh>
    <phoneticPr fontId="2"/>
  </si>
  <si>
    <t>2か月料金</t>
    <rPh sb="2" eb="3">
      <t>ゲツ</t>
    </rPh>
    <rPh sb="3" eb="5">
      <t>リョウキン</t>
    </rPh>
    <phoneticPr fontId="2"/>
  </si>
  <si>
    <t>水道料金及び下水道使用料　料金計算</t>
    <rPh sb="0" eb="2">
      <t>スイドウ</t>
    </rPh>
    <rPh sb="2" eb="4">
      <t>リョウキン</t>
    </rPh>
    <rPh sb="4" eb="5">
      <t>オヨ</t>
    </rPh>
    <rPh sb="6" eb="9">
      <t>ゲスイドウ</t>
    </rPh>
    <rPh sb="9" eb="12">
      <t>シヨウリョウ</t>
    </rPh>
    <rPh sb="13" eb="15">
      <t>リョウキン</t>
    </rPh>
    <rPh sb="15" eb="17">
      <t>ケイサン</t>
    </rPh>
    <phoneticPr fontId="2"/>
  </si>
  <si>
    <t>改定前</t>
    <rPh sb="0" eb="2">
      <t>カイテイ</t>
    </rPh>
    <rPh sb="2" eb="3">
      <t>マエ</t>
    </rPh>
    <phoneticPr fontId="2"/>
  </si>
  <si>
    <t>改定後</t>
    <rPh sb="0" eb="2">
      <t>カイテイ</t>
    </rPh>
    <rPh sb="2" eb="3">
      <t>アト</t>
    </rPh>
    <phoneticPr fontId="2"/>
  </si>
  <si>
    <t>改定前</t>
    <rPh sb="0" eb="2">
      <t>カイテイ</t>
    </rPh>
    <rPh sb="2" eb="3">
      <t>マエ</t>
    </rPh>
    <phoneticPr fontId="2"/>
  </si>
  <si>
    <t>【従量料金（１㎥ごと）】</t>
    <rPh sb="1" eb="3">
      <t>ジュウリョウ</t>
    </rPh>
    <rPh sb="3" eb="5">
      <t>リョウキン</t>
    </rPh>
    <phoneticPr fontId="7"/>
  </si>
  <si>
    <t>区分</t>
    <rPh sb="0" eb="2">
      <t>クブン</t>
    </rPh>
    <phoneticPr fontId="7"/>
  </si>
  <si>
    <t>単価</t>
    <rPh sb="0" eb="2">
      <t>タンカ</t>
    </rPh>
    <phoneticPr fontId="7"/>
  </si>
  <si>
    <t>改定前
基本料金</t>
    <rPh sb="0" eb="3">
      <t>カイテイマエ</t>
    </rPh>
    <rPh sb="4" eb="6">
      <t>キホン</t>
    </rPh>
    <rPh sb="6" eb="8">
      <t>リョウキン</t>
    </rPh>
    <phoneticPr fontId="2"/>
  </si>
  <si>
    <t>改定後
基本料金</t>
    <rPh sb="0" eb="3">
      <t>カイテイゴ</t>
    </rPh>
    <rPh sb="4" eb="6">
      <t>キホン</t>
    </rPh>
    <rPh sb="6" eb="8">
      <t>リョウキン</t>
    </rPh>
    <phoneticPr fontId="2"/>
  </si>
  <si>
    <t>　１０㎥までの分</t>
    <rPh sb="7" eb="8">
      <t>ブン</t>
    </rPh>
    <phoneticPr fontId="7"/>
  </si>
  <si>
    <t>　１０㎥を超え　２０㎥までの分</t>
    <rPh sb="5" eb="6">
      <t>コ</t>
    </rPh>
    <rPh sb="14" eb="15">
      <t>ブン</t>
    </rPh>
    <phoneticPr fontId="7"/>
  </si>
  <si>
    <t>　２０㎥を超え　５０㎥までの分</t>
    <rPh sb="5" eb="6">
      <t>コ</t>
    </rPh>
    <rPh sb="14" eb="15">
      <t>ブン</t>
    </rPh>
    <phoneticPr fontId="7"/>
  </si>
  <si>
    <t>　５０㎥を超え１００㎥までの分</t>
    <rPh sb="5" eb="6">
      <t>コ</t>
    </rPh>
    <rPh sb="14" eb="15">
      <t>ブン</t>
    </rPh>
    <phoneticPr fontId="7"/>
  </si>
  <si>
    <t>１００㎥を超え５００㎥までの分</t>
    <rPh sb="5" eb="6">
      <t>コ</t>
    </rPh>
    <rPh sb="14" eb="15">
      <t>ブン</t>
    </rPh>
    <phoneticPr fontId="7"/>
  </si>
  <si>
    <t>５００㎥を超える分</t>
    <rPh sb="5" eb="6">
      <t>コ</t>
    </rPh>
    <rPh sb="8" eb="9">
      <t>ブン</t>
    </rPh>
    <phoneticPr fontId="7"/>
  </si>
  <si>
    <t>改定前
基本料金</t>
    <phoneticPr fontId="2"/>
  </si>
  <si>
    <t>改定後
基本料金</t>
    <phoneticPr fontId="2"/>
  </si>
  <si>
    <t>前月分</t>
    <rPh sb="0" eb="3">
      <t>ゼンゲツブン</t>
    </rPh>
    <phoneticPr fontId="2"/>
  </si>
  <si>
    <t>後月分</t>
    <rPh sb="0" eb="2">
      <t>ウシロツキ</t>
    </rPh>
    <rPh sb="2" eb="3">
      <t>ブン</t>
    </rPh>
    <phoneticPr fontId="2"/>
  </si>
  <si>
    <t>日割</t>
    <rPh sb="0" eb="2">
      <t>ヒワリ</t>
    </rPh>
    <phoneticPr fontId="2"/>
  </si>
  <si>
    <t>使用日数</t>
    <rPh sb="0" eb="2">
      <t>シヨウ</t>
    </rPh>
    <rPh sb="2" eb="4">
      <t>ニッスウ</t>
    </rPh>
    <phoneticPr fontId="2"/>
  </si>
  <si>
    <t>上水</t>
    <rPh sb="0" eb="2">
      <t>ジョウスイ</t>
    </rPh>
    <phoneticPr fontId="2"/>
  </si>
  <si>
    <t>下水</t>
    <rPh sb="0" eb="2">
      <t>ゲスイ</t>
    </rPh>
    <phoneticPr fontId="2"/>
  </si>
  <si>
    <t>　２０㎥を超え　３０㎥までの分</t>
    <rPh sb="5" eb="6">
      <t>コ</t>
    </rPh>
    <rPh sb="14" eb="15">
      <t>ブン</t>
    </rPh>
    <phoneticPr fontId="7"/>
  </si>
  <si>
    <t>　３０㎥を超え　５０㎥までの分</t>
    <rPh sb="5" eb="6">
      <t>コ</t>
    </rPh>
    <rPh sb="14" eb="15">
      <t>ブン</t>
    </rPh>
    <phoneticPr fontId="7"/>
  </si>
  <si>
    <t>１００㎥を超え２００㎥までの分</t>
    <rPh sb="5" eb="6">
      <t>コ</t>
    </rPh>
    <rPh sb="14" eb="15">
      <t>ブン</t>
    </rPh>
    <phoneticPr fontId="7"/>
  </si>
  <si>
    <t>２００㎥を超え５００㎥までの分</t>
    <rPh sb="5" eb="6">
      <t>コ</t>
    </rPh>
    <rPh sb="14" eb="15">
      <t>ブン</t>
    </rPh>
    <phoneticPr fontId="7"/>
  </si>
  <si>
    <t>５００㎥を超え１０００㎥までの分</t>
    <rPh sb="5" eb="6">
      <t>コ</t>
    </rPh>
    <rPh sb="15" eb="16">
      <t>ブン</t>
    </rPh>
    <phoneticPr fontId="7"/>
  </si>
  <si>
    <t>１０００㎥を超える分</t>
    <rPh sb="6" eb="7">
      <t>コ</t>
    </rPh>
    <rPh sb="9" eb="10">
      <t>ブン</t>
    </rPh>
    <phoneticPr fontId="7"/>
  </si>
  <si>
    <t>５００㎥を超え1,000㎥までの分</t>
    <phoneticPr fontId="2"/>
  </si>
  <si>
    <t>1,000㎥を超える分</t>
    <rPh sb="7" eb="8">
      <t>コ</t>
    </rPh>
    <rPh sb="10" eb="11">
      <t>ブン</t>
    </rPh>
    <phoneticPr fontId="7"/>
  </si>
  <si>
    <t>13㎜/20㎜</t>
    <phoneticPr fontId="2"/>
  </si>
  <si>
    <t>25㎜</t>
    <phoneticPr fontId="2"/>
  </si>
  <si>
    <t>30㎜/40㎜</t>
    <phoneticPr fontId="2"/>
  </si>
  <si>
    <t>50㎜</t>
    <phoneticPr fontId="2"/>
  </si>
  <si>
    <t>75㎜</t>
    <phoneticPr fontId="2"/>
  </si>
  <si>
    <t>100㎜</t>
    <phoneticPr fontId="2"/>
  </si>
  <si>
    <t>150㎜/200㎜</t>
    <phoneticPr fontId="2"/>
  </si>
  <si>
    <t>13㎜/20㎜</t>
  </si>
  <si>
    <t>【始期】</t>
    <rPh sb="0" eb="4">
      <t>(シキ)</t>
    </rPh>
    <phoneticPr fontId="2"/>
  </si>
  <si>
    <t>【終期】</t>
    <rPh sb="1" eb="3">
      <t>シュウキ</t>
    </rPh>
    <phoneticPr fontId="2"/>
  </si>
  <si>
    <t>【始期】</t>
  </si>
  <si>
    <t>【終期】</t>
  </si>
  <si>
    <t>日間</t>
    <rPh sb="0" eb="2">
      <t>ニチカン</t>
    </rPh>
    <phoneticPr fontId="2"/>
  </si>
  <si>
    <t>日</t>
    <rPh sb="0" eb="1">
      <t>ニチ</t>
    </rPh>
    <phoneticPr fontId="2"/>
  </si>
  <si>
    <r>
      <rPr>
        <b/>
        <sz val="12"/>
        <color theme="1"/>
        <rFont val="游ゴシック"/>
        <family val="3"/>
        <charset val="128"/>
      </rPr>
      <t>水道料金</t>
    </r>
    <r>
      <rPr>
        <b/>
        <sz val="10"/>
        <color theme="1"/>
        <rFont val="游ゴシック"/>
        <family val="3"/>
        <charset val="128"/>
      </rPr>
      <t>（円）</t>
    </r>
    <rPh sb="0" eb="2">
      <t>スイドウ</t>
    </rPh>
    <rPh sb="2" eb="4">
      <t>リョウキン</t>
    </rPh>
    <rPh sb="5" eb="6">
      <t>エン</t>
    </rPh>
    <phoneticPr fontId="2"/>
  </si>
  <si>
    <r>
      <t>下水道使用料</t>
    </r>
    <r>
      <rPr>
        <b/>
        <sz val="9"/>
        <color theme="1"/>
        <rFont val="游ゴシック"/>
        <family val="3"/>
        <charset val="128"/>
      </rPr>
      <t>（円）</t>
    </r>
    <rPh sb="0" eb="3">
      <t>ゲスイドウ</t>
    </rPh>
    <rPh sb="3" eb="6">
      <t>シヨウリョウ</t>
    </rPh>
    <rPh sb="7" eb="8">
      <t>エン</t>
    </rPh>
    <phoneticPr fontId="2"/>
  </si>
  <si>
    <r>
      <t>合計</t>
    </r>
    <r>
      <rPr>
        <b/>
        <sz val="10"/>
        <color theme="1"/>
        <rFont val="游ゴシック"/>
        <family val="3"/>
        <charset val="128"/>
      </rPr>
      <t>（円）</t>
    </r>
    <rPh sb="0" eb="2">
      <t>ゴウケイ</t>
    </rPh>
    <rPh sb="3" eb="4">
      <t>エン</t>
    </rPh>
    <phoneticPr fontId="2"/>
  </si>
  <si>
    <t>口径25mm</t>
    <rPh sb="0" eb="2">
      <t>コウケイ</t>
    </rPh>
    <phoneticPr fontId="2"/>
  </si>
  <si>
    <t>従量料金</t>
    <rPh sb="0" eb="4">
      <t>ジュウリョウリョウキン</t>
    </rPh>
    <phoneticPr fontId="2"/>
  </si>
  <si>
    <t>単価</t>
    <rPh sb="0" eb="2">
      <t>タンカ</t>
    </rPh>
    <phoneticPr fontId="2"/>
  </si>
  <si>
    <t>税込</t>
    <rPh sb="0" eb="2">
      <t>ゼイコ</t>
    </rPh>
    <phoneticPr fontId="2"/>
  </si>
  <si>
    <t>税込単価</t>
    <rPh sb="0" eb="2">
      <t>ゼイコ</t>
    </rPh>
    <rPh sb="2" eb="4">
      <t>タンカ</t>
    </rPh>
    <phoneticPr fontId="2"/>
  </si>
  <si>
    <t>㎥</t>
    <phoneticPr fontId="2"/>
  </si>
  <si>
    <t>（前月分）</t>
    <rPh sb="1" eb="2">
      <t>マエ</t>
    </rPh>
    <rPh sb="2" eb="3">
      <t>ツキ</t>
    </rPh>
    <rPh sb="3" eb="4">
      <t>ブン</t>
    </rPh>
    <phoneticPr fontId="2"/>
  </si>
  <si>
    <t>（後月分）</t>
    <rPh sb="1" eb="2">
      <t>アト</t>
    </rPh>
    <rPh sb="2" eb="3">
      <t>ツキ</t>
    </rPh>
    <rPh sb="3" eb="4">
      <t>ブン</t>
    </rPh>
    <phoneticPr fontId="2"/>
  </si>
  <si>
    <t>円未満切捨</t>
    <rPh sb="0" eb="1">
      <t>エン</t>
    </rPh>
    <rPh sb="1" eb="3">
      <t>ミマン</t>
    </rPh>
    <rPh sb="3" eb="5">
      <t>キリス</t>
    </rPh>
    <phoneticPr fontId="2"/>
  </si>
  <si>
    <t>2か月合計の請求額</t>
    <rPh sb="2" eb="3">
      <t>ゲツ</t>
    </rPh>
    <rPh sb="3" eb="5">
      <t>ゴウケイ</t>
    </rPh>
    <rPh sb="6" eb="9">
      <t>セイキュウガク</t>
    </rPh>
    <phoneticPr fontId="2"/>
  </si>
  <si>
    <t>請求額</t>
    <rPh sb="0" eb="3">
      <t>セイキュウガク</t>
    </rPh>
    <phoneticPr fontId="2"/>
  </si>
  <si>
    <t>（円未満切捨）</t>
    <rPh sb="1" eb="2">
      <t>エン</t>
    </rPh>
    <rPh sb="2" eb="4">
      <t>ミマン</t>
    </rPh>
    <rPh sb="4" eb="5">
      <t>キ</t>
    </rPh>
    <rPh sb="5" eb="6">
      <t>ス</t>
    </rPh>
    <phoneticPr fontId="2"/>
  </si>
  <si>
    <t>口径20mm</t>
    <rPh sb="0" eb="2">
      <t>コウケイ</t>
    </rPh>
    <phoneticPr fontId="2"/>
  </si>
  <si>
    <t>１か月料金</t>
    <rPh sb="2" eb="3">
      <t>ゲツ</t>
    </rPh>
    <rPh sb="3" eb="5">
      <t>リョウキン</t>
    </rPh>
    <phoneticPr fontId="2"/>
  </si>
  <si>
    <t>２か月合計料金</t>
    <rPh sb="2" eb="3">
      <t>ゲツ</t>
    </rPh>
    <rPh sb="3" eb="5">
      <t>ゴウケイ</t>
    </rPh>
    <rPh sb="5" eb="7">
      <t>リョウキン</t>
    </rPh>
    <phoneticPr fontId="2"/>
  </si>
  <si>
    <t>２か月料金</t>
    <rPh sb="2" eb="3">
      <t>ゲツ</t>
    </rPh>
    <rPh sb="3" eb="5">
      <t>リョウキン</t>
    </rPh>
    <phoneticPr fontId="2"/>
  </si>
  <si>
    <t>2023.6月現在</t>
    <rPh sb="6" eb="7">
      <t>ガツ</t>
    </rPh>
    <rPh sb="7" eb="9">
      <t>ゲンザイ</t>
    </rPh>
    <phoneticPr fontId="2"/>
  </si>
  <si>
    <t>㎥</t>
    <phoneticPr fontId="2"/>
  </si>
  <si>
    <t>前月分</t>
    <rPh sb="0" eb="2">
      <t>ゼンゲツ</t>
    </rPh>
    <rPh sb="2" eb="3">
      <t>ブン</t>
    </rPh>
    <phoneticPr fontId="2"/>
  </si>
  <si>
    <t>後月分</t>
    <rPh sb="0" eb="1">
      <t>アト</t>
    </rPh>
    <rPh sb="1" eb="2">
      <t>ツキ</t>
    </rPh>
    <rPh sb="2" eb="3">
      <t>ブン</t>
    </rPh>
    <phoneticPr fontId="2"/>
  </si>
  <si>
    <t>※円未満切捨</t>
    <rPh sb="1" eb="2">
      <t>エン</t>
    </rPh>
    <rPh sb="2" eb="4">
      <t>ミマン</t>
    </rPh>
    <rPh sb="4" eb="6">
      <t>キリス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</si>
</sst>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0_ "/>
    <numFmt numFmtId="177" formatCode="#,##0.00_ ;[Red]\-#,##0.00\ "/>
    <numFmt numFmtId="178" formatCode="#,##0_ ;[Red]\-#,##0\ "/>
    <numFmt numFmtId="179" formatCode="#,##0.00&quot;円&quot;"/>
    <numFmt numFmtId="180" formatCode="0&quot;㎥&quot;"/>
    <numFmt numFmtId="181" formatCode="#,##0&quot;日&quot;"/>
  </numFmts>
  <fonts count="2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theme="0"/>
      <name val="游ゴシック"/>
      <family val="2"/>
      <charset val="128"/>
      <scheme val="minor"/>
    </font>
    <font>
      <b/>
      <sz val="20"/>
      <color theme="0"/>
      <name val="游ゴシック"/>
      <family val="3"/>
      <charset val="128"/>
    </font>
    <font>
      <sz val="11"/>
      <color theme="1"/>
      <name val="游ゴシック"/>
      <family val="3"/>
      <charset val="128"/>
    </font>
    <font>
      <b/>
      <sz val="18"/>
      <color theme="1"/>
      <name val="游ゴシック"/>
      <family val="3"/>
      <charset val="128"/>
    </font>
    <font>
      <b/>
      <sz val="14"/>
      <color theme="1"/>
      <name val="游ゴシック"/>
      <family val="3"/>
      <charset val="128"/>
    </font>
    <font>
      <b/>
      <sz val="16"/>
      <color theme="1"/>
      <name val="游ゴシック"/>
      <family val="3"/>
      <charset val="128"/>
    </font>
    <font>
      <b/>
      <sz val="14"/>
      <color theme="0"/>
      <name val="游ゴシック"/>
      <family val="3"/>
      <charset val="128"/>
    </font>
    <font>
      <b/>
      <sz val="12"/>
      <color theme="1"/>
      <name val="游ゴシック"/>
      <family val="3"/>
      <charset val="128"/>
    </font>
    <font>
      <b/>
      <sz val="10"/>
      <color theme="1"/>
      <name val="游ゴシック"/>
      <family val="3"/>
      <charset val="128"/>
    </font>
    <font>
      <b/>
      <sz val="9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  <font>
      <sz val="14"/>
      <color theme="1"/>
      <name val="游ゴシック"/>
      <family val="3"/>
      <charset val="128"/>
    </font>
    <font>
      <sz val="18"/>
      <color theme="1"/>
      <name val="游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2"/>
      <color indexed="8"/>
      <name val="游ゴシック"/>
      <family val="3"/>
      <charset val="128"/>
      <scheme val="minor"/>
    </font>
    <font>
      <sz val="12"/>
      <color indexed="8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gradientFill type="path" left="0.5" right="0.5" top="0.5" bottom="0.5">
        <stop position="0">
          <color rgb="FF000099"/>
        </stop>
        <stop position="1">
          <color rgb="FF3366FF"/>
        </stop>
      </gradientFill>
    </fill>
    <fill>
      <patternFill patternType="solid">
        <fgColor rgb="FF66CCFF"/>
        <bgColor indexed="64"/>
      </patternFill>
    </fill>
    <fill>
      <patternFill patternType="solid">
        <fgColor rgb="FFCCFFFF"/>
        <bgColor indexed="64"/>
      </patternFill>
    </fill>
    <fill>
      <patternFill patternType="lightDown"/>
    </fill>
    <fill>
      <patternFill patternType="lightDown">
        <bgColor theme="4" tint="0.79995117038483843"/>
      </patternFill>
    </fill>
    <fill>
      <patternFill patternType="lightDown">
        <bgColor theme="4" tint="0.79998168889431442"/>
      </patternFill>
    </fill>
    <fill>
      <patternFill patternType="lightDown">
        <bgColor theme="4" tint="0.59999389629810485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lightDown">
        <bgColor theme="7" tint="0.79998168889431442"/>
      </patternFill>
    </fill>
    <fill>
      <patternFill patternType="solid">
        <fgColor theme="5" tint="0.79998168889431442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41">
    <xf numFmtId="0" fontId="0" fillId="0" borderId="0" xfId="0">
      <alignment vertical="center"/>
    </xf>
    <xf numFmtId="0" fontId="0" fillId="4" borderId="1" xfId="0" applyFill="1" applyBorder="1">
      <alignment vertical="center"/>
    </xf>
    <xf numFmtId="0" fontId="0" fillId="4" borderId="3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176" fontId="0" fillId="0" borderId="1" xfId="0" applyNumberFormat="1" applyBorder="1">
      <alignment vertical="center"/>
    </xf>
    <xf numFmtId="177" fontId="0" fillId="0" borderId="1" xfId="1" applyNumberFormat="1" applyFont="1" applyBorder="1">
      <alignment vertical="center"/>
    </xf>
    <xf numFmtId="177" fontId="0" fillId="0" borderId="0" xfId="1" applyNumberFormat="1" applyFont="1" applyBorder="1">
      <alignment vertical="center"/>
    </xf>
    <xf numFmtId="0" fontId="0" fillId="0" borderId="0" xfId="0" applyBorder="1">
      <alignment vertical="center"/>
    </xf>
    <xf numFmtId="0" fontId="0" fillId="0" borderId="0" xfId="0" applyFill="1" applyBorder="1" applyAlignment="1">
      <alignment horizontal="center" vertical="center"/>
    </xf>
    <xf numFmtId="177" fontId="0" fillId="0" borderId="6" xfId="1" applyNumberFormat="1" applyFont="1" applyBorder="1">
      <alignment vertical="center"/>
    </xf>
    <xf numFmtId="0" fontId="0" fillId="0" borderId="5" xfId="0" applyBorder="1">
      <alignment vertical="center"/>
    </xf>
    <xf numFmtId="0" fontId="0" fillId="2" borderId="5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77" fontId="0" fillId="4" borderId="1" xfId="1" applyNumberFormat="1" applyFont="1" applyFill="1" applyBorder="1">
      <alignment vertical="center"/>
    </xf>
    <xf numFmtId="177" fontId="0" fillId="0" borderId="1" xfId="0" applyNumberFormat="1" applyBorder="1">
      <alignment vertical="center"/>
    </xf>
    <xf numFmtId="0" fontId="0" fillId="0" borderId="2" xfId="0" applyFill="1" applyBorder="1">
      <alignment vertical="center"/>
    </xf>
    <xf numFmtId="0" fontId="0" fillId="0" borderId="1" xfId="0" applyFill="1" applyBorder="1">
      <alignment vertical="center"/>
    </xf>
    <xf numFmtId="176" fontId="0" fillId="0" borderId="1" xfId="0" applyNumberFormat="1" applyFill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7" xfId="0" applyBorder="1">
      <alignment vertical="center"/>
    </xf>
    <xf numFmtId="176" fontId="0" fillId="0" borderId="2" xfId="0" applyNumberFormat="1" applyBorder="1">
      <alignment vertical="center"/>
    </xf>
    <xf numFmtId="38" fontId="0" fillId="4" borderId="4" xfId="1" applyFont="1" applyFill="1" applyBorder="1">
      <alignment vertical="center"/>
    </xf>
    <xf numFmtId="177" fontId="0" fillId="4" borderId="4" xfId="1" applyNumberFormat="1" applyFont="1" applyFill="1" applyBorder="1">
      <alignment vertical="center"/>
    </xf>
    <xf numFmtId="177" fontId="0" fillId="0" borderId="0" xfId="1" applyNumberFormat="1" applyFont="1" applyFill="1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Fill="1" applyBorder="1" applyAlignment="1">
      <alignment horizontal="center" vertical="center"/>
    </xf>
    <xf numFmtId="177" fontId="0" fillId="0" borderId="21" xfId="1" applyNumberFormat="1" applyFont="1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5" fillId="0" borderId="15" xfId="0" applyFont="1" applyBorder="1">
      <alignment vertical="center"/>
    </xf>
    <xf numFmtId="0" fontId="0" fillId="0" borderId="0" xfId="0" applyBorder="1" applyAlignment="1">
      <alignment horizontal="center" vertical="center"/>
    </xf>
    <xf numFmtId="178" fontId="0" fillId="0" borderId="0" xfId="0" applyNumberFormat="1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18" xfId="0" applyFill="1" applyBorder="1">
      <alignment vertical="center"/>
    </xf>
    <xf numFmtId="177" fontId="0" fillId="0" borderId="0" xfId="0" applyNumberFormat="1" applyFill="1" applyBorder="1">
      <alignment vertical="center"/>
    </xf>
    <xf numFmtId="0" fontId="0" fillId="0" borderId="21" xfId="0" applyFill="1" applyBorder="1">
      <alignment vertical="center"/>
    </xf>
    <xf numFmtId="176" fontId="0" fillId="0" borderId="21" xfId="0" applyNumberFormat="1" applyFill="1" applyBorder="1">
      <alignment vertical="center"/>
    </xf>
    <xf numFmtId="176" fontId="0" fillId="0" borderId="21" xfId="0" applyNumberFormat="1" applyBorder="1">
      <alignment vertical="center"/>
    </xf>
    <xf numFmtId="38" fontId="0" fillId="0" borderId="23" xfId="1" applyFont="1" applyFill="1" applyBorder="1">
      <alignment vertical="center"/>
    </xf>
    <xf numFmtId="176" fontId="0" fillId="0" borderId="6" xfId="0" applyNumberFormat="1" applyBorder="1">
      <alignment vertical="center"/>
    </xf>
    <xf numFmtId="0" fontId="0" fillId="2" borderId="3" xfId="0" applyFill="1" applyBorder="1" applyAlignment="1">
      <alignment horizontal="center" vertical="center"/>
    </xf>
    <xf numFmtId="0" fontId="0" fillId="0" borderId="14" xfId="0" applyBorder="1">
      <alignment vertical="center"/>
    </xf>
    <xf numFmtId="9" fontId="0" fillId="2" borderId="1" xfId="0" applyNumberFormat="1" applyFill="1" applyBorder="1" applyAlignment="1">
      <alignment horizontal="center" vertical="center"/>
    </xf>
    <xf numFmtId="0" fontId="6" fillId="0" borderId="0" xfId="0" applyFont="1">
      <alignment vertical="center"/>
    </xf>
    <xf numFmtId="0" fontId="8" fillId="0" borderId="9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38" fontId="0" fillId="0" borderId="29" xfId="1" applyFont="1" applyBorder="1" applyAlignment="1">
      <alignment horizontal="left" vertical="center" wrapText="1"/>
    </xf>
    <xf numFmtId="179" fontId="0" fillId="0" borderId="28" xfId="1" applyNumberFormat="1" applyFont="1" applyBorder="1">
      <alignment vertical="center"/>
    </xf>
    <xf numFmtId="38" fontId="0" fillId="0" borderId="28" xfId="1" applyFont="1" applyBorder="1" applyAlignment="1">
      <alignment vertical="center" wrapText="1"/>
    </xf>
    <xf numFmtId="179" fontId="0" fillId="0" borderId="30" xfId="1" applyNumberFormat="1" applyFont="1" applyBorder="1">
      <alignment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2" xfId="0" applyFont="1" applyBorder="1" applyAlignment="1">
      <alignment vertical="center"/>
    </xf>
    <xf numFmtId="0" fontId="8" fillId="0" borderId="33" xfId="0" applyFont="1" applyBorder="1" applyAlignment="1">
      <alignment horizontal="center" vertical="center"/>
    </xf>
    <xf numFmtId="180" fontId="0" fillId="0" borderId="34" xfId="1" applyNumberFormat="1" applyFont="1" applyBorder="1">
      <alignment vertical="center"/>
    </xf>
    <xf numFmtId="40" fontId="0" fillId="0" borderId="35" xfId="1" applyNumberFormat="1" applyFont="1" applyBorder="1">
      <alignment vertical="center"/>
    </xf>
    <xf numFmtId="2" fontId="8" fillId="0" borderId="38" xfId="0" applyNumberFormat="1" applyFont="1" applyBorder="1" applyAlignment="1">
      <alignment horizontal="right" vertical="center"/>
    </xf>
    <xf numFmtId="38" fontId="0" fillId="0" borderId="3" xfId="1" applyFont="1" applyBorder="1">
      <alignment vertical="center"/>
    </xf>
    <xf numFmtId="179" fontId="0" fillId="0" borderId="3" xfId="1" applyNumberFormat="1" applyFont="1" applyBorder="1">
      <alignment vertical="center"/>
    </xf>
    <xf numFmtId="179" fontId="0" fillId="0" borderId="39" xfId="1" applyNumberFormat="1" applyFont="1" applyBorder="1">
      <alignment vertical="center"/>
    </xf>
    <xf numFmtId="2" fontId="8" fillId="0" borderId="6" xfId="0" applyNumberFormat="1" applyFont="1" applyBorder="1" applyAlignment="1">
      <alignment horizontal="right" vertical="center"/>
    </xf>
    <xf numFmtId="38" fontId="0" fillId="0" borderId="1" xfId="1" applyFont="1" applyBorder="1">
      <alignment vertical="center"/>
    </xf>
    <xf numFmtId="179" fontId="0" fillId="0" borderId="1" xfId="1" applyNumberFormat="1" applyFont="1" applyBorder="1">
      <alignment vertical="center"/>
    </xf>
    <xf numFmtId="179" fontId="0" fillId="0" borderId="42" xfId="1" applyNumberFormat="1" applyFont="1" applyBorder="1">
      <alignment vertical="center"/>
    </xf>
    <xf numFmtId="2" fontId="8" fillId="0" borderId="12" xfId="0" applyNumberFormat="1" applyFont="1" applyBorder="1" applyAlignment="1">
      <alignment horizontal="right" vertical="center"/>
    </xf>
    <xf numFmtId="38" fontId="0" fillId="0" borderId="24" xfId="1" applyFont="1" applyBorder="1">
      <alignment vertical="center"/>
    </xf>
    <xf numFmtId="179" fontId="0" fillId="0" borderId="24" xfId="1" applyNumberFormat="1" applyFont="1" applyBorder="1">
      <alignment vertical="center"/>
    </xf>
    <xf numFmtId="179" fontId="0" fillId="0" borderId="45" xfId="1" applyNumberFormat="1" applyFont="1" applyBorder="1">
      <alignment vertical="center"/>
    </xf>
    <xf numFmtId="38" fontId="0" fillId="0" borderId="46" xfId="1" applyFont="1" applyBorder="1">
      <alignment vertical="center"/>
    </xf>
    <xf numFmtId="180" fontId="0" fillId="0" borderId="47" xfId="1" applyNumberFormat="1" applyFont="1" applyBorder="1">
      <alignment vertical="center"/>
    </xf>
    <xf numFmtId="179" fontId="0" fillId="0" borderId="47" xfId="1" applyNumberFormat="1" applyFont="1" applyBorder="1">
      <alignment vertical="center"/>
    </xf>
    <xf numFmtId="179" fontId="0" fillId="0" borderId="48" xfId="1" applyNumberFormat="1" applyFont="1" applyBorder="1">
      <alignment vertical="center"/>
    </xf>
    <xf numFmtId="0" fontId="0" fillId="0" borderId="46" xfId="0" applyBorder="1" applyAlignment="1">
      <alignment horizontal="center" vertical="center"/>
    </xf>
    <xf numFmtId="180" fontId="0" fillId="0" borderId="47" xfId="0" applyNumberFormat="1" applyBorder="1">
      <alignment vertical="center"/>
    </xf>
    <xf numFmtId="0" fontId="8" fillId="0" borderId="49" xfId="0" applyFont="1" applyBorder="1" applyAlignment="1">
      <alignment horizontal="center" vertical="center"/>
    </xf>
    <xf numFmtId="38" fontId="0" fillId="0" borderId="50" xfId="1" applyFont="1" applyBorder="1" applyAlignment="1">
      <alignment horizontal="center" vertical="center" wrapText="1"/>
    </xf>
    <xf numFmtId="38" fontId="0" fillId="0" borderId="50" xfId="1" applyFont="1" applyBorder="1" applyAlignment="1">
      <alignment vertical="center" wrapText="1"/>
    </xf>
    <xf numFmtId="179" fontId="0" fillId="0" borderId="50" xfId="1" applyNumberFormat="1" applyFont="1" applyBorder="1">
      <alignment vertical="center"/>
    </xf>
    <xf numFmtId="179" fontId="0" fillId="0" borderId="51" xfId="1" applyNumberFormat="1" applyFont="1" applyBorder="1">
      <alignment vertical="center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3" xfId="0" applyFont="1" applyBorder="1" applyAlignment="1">
      <alignment vertical="center"/>
    </xf>
    <xf numFmtId="0" fontId="8" fillId="0" borderId="54" xfId="0" applyFont="1" applyBorder="1" applyAlignment="1">
      <alignment horizontal="center" vertical="center"/>
    </xf>
    <xf numFmtId="180" fontId="0" fillId="0" borderId="55" xfId="1" applyNumberFormat="1" applyFont="1" applyBorder="1">
      <alignment vertical="center"/>
    </xf>
    <xf numFmtId="179" fontId="0" fillId="0" borderId="55" xfId="1" applyNumberFormat="1" applyFont="1" applyBorder="1">
      <alignment vertical="center"/>
    </xf>
    <xf numFmtId="179" fontId="0" fillId="0" borderId="56" xfId="1" applyNumberFormat="1" applyFont="1" applyBorder="1">
      <alignment vertical="center"/>
    </xf>
    <xf numFmtId="0" fontId="8" fillId="0" borderId="58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2" fontId="8" fillId="0" borderId="59" xfId="0" applyNumberFormat="1" applyFont="1" applyBorder="1" applyAlignment="1">
      <alignment horizontal="right" vertical="center"/>
    </xf>
    <xf numFmtId="38" fontId="0" fillId="0" borderId="2" xfId="1" applyFont="1" applyBorder="1">
      <alignment vertical="center"/>
    </xf>
    <xf numFmtId="179" fontId="0" fillId="0" borderId="2" xfId="1" applyNumberFormat="1" applyFont="1" applyBorder="1">
      <alignment vertical="center"/>
    </xf>
    <xf numFmtId="179" fontId="0" fillId="0" borderId="60" xfId="1" applyNumberFormat="1" applyFont="1" applyBorder="1">
      <alignment vertical="center"/>
    </xf>
    <xf numFmtId="0" fontId="11" fillId="8" borderId="0" xfId="0" applyFont="1" applyFill="1" applyProtection="1">
      <alignment vertical="center"/>
    </xf>
    <xf numFmtId="0" fontId="11" fillId="0" borderId="0" xfId="0" applyFont="1" applyProtection="1">
      <alignment vertical="center"/>
    </xf>
    <xf numFmtId="0" fontId="11" fillId="8" borderId="0" xfId="0" applyFont="1" applyFill="1" applyBorder="1" applyAlignment="1" applyProtection="1">
      <alignment horizontal="right" vertical="center"/>
    </xf>
    <xf numFmtId="0" fontId="11" fillId="8" borderId="0" xfId="0" applyFont="1" applyFill="1" applyBorder="1" applyProtection="1">
      <alignment vertical="center"/>
    </xf>
    <xf numFmtId="0" fontId="12" fillId="8" borderId="0" xfId="0" applyFont="1" applyFill="1" applyProtection="1">
      <alignment vertical="center"/>
    </xf>
    <xf numFmtId="0" fontId="12" fillId="8" borderId="2" xfId="0" applyFont="1" applyFill="1" applyBorder="1" applyAlignment="1" applyProtection="1">
      <alignment horizontal="center" vertical="center"/>
    </xf>
    <xf numFmtId="0" fontId="13" fillId="8" borderId="0" xfId="0" applyFont="1" applyFill="1" applyAlignment="1" applyProtection="1">
      <alignment horizontal="center" vertical="center"/>
    </xf>
    <xf numFmtId="0" fontId="14" fillId="8" borderId="2" xfId="0" applyFont="1" applyFill="1" applyBorder="1" applyAlignment="1" applyProtection="1">
      <alignment horizontal="center" vertical="center"/>
    </xf>
    <xf numFmtId="0" fontId="13" fillId="9" borderId="8" xfId="0" applyFont="1" applyFill="1" applyBorder="1" applyAlignment="1" applyProtection="1">
      <alignment horizontal="center" vertical="center"/>
    </xf>
    <xf numFmtId="0" fontId="16" fillId="9" borderId="9" xfId="0" applyFont="1" applyFill="1" applyBorder="1" applyAlignment="1" applyProtection="1">
      <alignment horizontal="center" vertical="center"/>
    </xf>
    <xf numFmtId="0" fontId="13" fillId="9" borderId="10" xfId="0" applyFont="1" applyFill="1" applyBorder="1" applyAlignment="1" applyProtection="1">
      <alignment horizontal="center" vertical="center"/>
    </xf>
    <xf numFmtId="0" fontId="12" fillId="0" borderId="25" xfId="0" applyFont="1" applyFill="1" applyBorder="1" applyAlignment="1" applyProtection="1">
      <alignment horizontal="right" vertical="center"/>
      <protection locked="0"/>
    </xf>
    <xf numFmtId="0" fontId="13" fillId="8" borderId="0" xfId="0" applyFont="1" applyFill="1" applyProtection="1">
      <alignment vertical="center"/>
    </xf>
    <xf numFmtId="38" fontId="12" fillId="0" borderId="25" xfId="1" applyFont="1" applyFill="1" applyBorder="1" applyProtection="1">
      <alignment vertical="center"/>
      <protection locked="0"/>
    </xf>
    <xf numFmtId="0" fontId="16" fillId="8" borderId="2" xfId="0" applyFont="1" applyFill="1" applyBorder="1" applyAlignment="1" applyProtection="1">
      <alignment horizontal="center" vertical="center"/>
    </xf>
    <xf numFmtId="38" fontId="19" fillId="8" borderId="0" xfId="1" applyFont="1" applyFill="1" applyBorder="1" applyProtection="1">
      <alignment vertical="center"/>
    </xf>
    <xf numFmtId="0" fontId="20" fillId="8" borderId="0" xfId="0" applyFont="1" applyFill="1" applyProtection="1">
      <alignment vertical="center"/>
    </xf>
    <xf numFmtId="0" fontId="20" fillId="0" borderId="0" xfId="0" applyFont="1" applyProtection="1">
      <alignment vertical="center"/>
    </xf>
    <xf numFmtId="0" fontId="21" fillId="5" borderId="25" xfId="0" applyFont="1" applyFill="1" applyBorder="1" applyAlignment="1" applyProtection="1">
      <alignment horizontal="center" vertical="center"/>
      <protection locked="0"/>
    </xf>
    <xf numFmtId="0" fontId="22" fillId="0" borderId="0" xfId="0" applyFont="1">
      <alignment vertical="center"/>
    </xf>
    <xf numFmtId="0" fontId="23" fillId="0" borderId="14" xfId="0" applyFont="1" applyBorder="1" applyAlignment="1">
      <alignment horizontal="center" vertical="center"/>
    </xf>
    <xf numFmtId="14" fontId="22" fillId="0" borderId="0" xfId="0" applyNumberFormat="1" applyFont="1">
      <alignment vertical="center"/>
    </xf>
    <xf numFmtId="0" fontId="22" fillId="0" borderId="28" xfId="0" applyFont="1" applyBorder="1" applyAlignment="1">
      <alignment horizontal="center" vertical="center"/>
    </xf>
    <xf numFmtId="38" fontId="22" fillId="0" borderId="29" xfId="1" applyFont="1" applyBorder="1" applyAlignment="1">
      <alignment horizontal="center" vertical="center" wrapText="1"/>
    </xf>
    <xf numFmtId="179" fontId="22" fillId="0" borderId="28" xfId="1" applyNumberFormat="1" applyFont="1" applyBorder="1">
      <alignment vertical="center"/>
    </xf>
    <xf numFmtId="38" fontId="22" fillId="0" borderId="28" xfId="1" applyFont="1" applyBorder="1" applyAlignment="1">
      <alignment horizontal="center" vertical="center" wrapText="1"/>
    </xf>
    <xf numFmtId="179" fontId="22" fillId="0" borderId="30" xfId="1" applyNumberFormat="1" applyFont="1" applyBorder="1">
      <alignment vertical="center"/>
    </xf>
    <xf numFmtId="0" fontId="22" fillId="0" borderId="57" xfId="0" applyFont="1" applyBorder="1">
      <alignment vertical="center"/>
    </xf>
    <xf numFmtId="0" fontId="22" fillId="0" borderId="55" xfId="0" applyFont="1" applyBorder="1" applyAlignment="1">
      <alignment horizontal="center" vertical="center"/>
    </xf>
    <xf numFmtId="181" fontId="22" fillId="0" borderId="57" xfId="1" applyNumberFormat="1" applyFont="1" applyBorder="1" applyAlignment="1">
      <alignment horizontal="right" vertical="center" wrapText="1"/>
    </xf>
    <xf numFmtId="181" fontId="22" fillId="0" borderId="53" xfId="0" applyNumberFormat="1" applyFont="1" applyBorder="1">
      <alignment vertical="center"/>
    </xf>
    <xf numFmtId="179" fontId="22" fillId="0" borderId="55" xfId="1" applyNumberFormat="1" applyFont="1" applyBorder="1">
      <alignment vertical="center"/>
    </xf>
    <xf numFmtId="181" fontId="22" fillId="0" borderId="55" xfId="1" applyNumberFormat="1" applyFont="1" applyBorder="1" applyAlignment="1">
      <alignment horizontal="right" vertical="center" wrapText="1"/>
    </xf>
    <xf numFmtId="179" fontId="22" fillId="0" borderId="56" xfId="1" applyNumberFormat="1" applyFont="1" applyBorder="1">
      <alignment vertical="center"/>
    </xf>
    <xf numFmtId="180" fontId="22" fillId="0" borderId="34" xfId="1" applyNumberFormat="1" applyFont="1" applyBorder="1">
      <alignment vertical="center"/>
    </xf>
    <xf numFmtId="40" fontId="22" fillId="0" borderId="35" xfId="1" applyNumberFormat="1" applyFont="1" applyBorder="1">
      <alignment vertical="center"/>
    </xf>
    <xf numFmtId="0" fontId="22" fillId="0" borderId="1" xfId="0" applyFont="1" applyBorder="1">
      <alignment vertical="center"/>
    </xf>
    <xf numFmtId="38" fontId="22" fillId="0" borderId="3" xfId="1" applyFont="1" applyBorder="1">
      <alignment vertical="center"/>
    </xf>
    <xf numFmtId="179" fontId="22" fillId="0" borderId="3" xfId="1" applyNumberFormat="1" applyFont="1" applyBorder="1">
      <alignment vertical="center"/>
    </xf>
    <xf numFmtId="179" fontId="22" fillId="0" borderId="39" xfId="1" applyNumberFormat="1" applyFont="1" applyBorder="1">
      <alignment vertical="center"/>
    </xf>
    <xf numFmtId="38" fontId="22" fillId="0" borderId="1" xfId="1" applyFont="1" applyBorder="1">
      <alignment vertical="center"/>
    </xf>
    <xf numFmtId="179" fontId="22" fillId="0" borderId="1" xfId="1" applyNumberFormat="1" applyFont="1" applyBorder="1">
      <alignment vertical="center"/>
    </xf>
    <xf numFmtId="179" fontId="22" fillId="0" borderId="42" xfId="1" applyNumberFormat="1" applyFont="1" applyBorder="1">
      <alignment vertical="center"/>
    </xf>
    <xf numFmtId="38" fontId="22" fillId="0" borderId="24" xfId="1" applyFont="1" applyBorder="1">
      <alignment vertical="center"/>
    </xf>
    <xf numFmtId="179" fontId="22" fillId="0" borderId="24" xfId="1" applyNumberFormat="1" applyFont="1" applyBorder="1">
      <alignment vertical="center"/>
    </xf>
    <xf numFmtId="179" fontId="22" fillId="0" borderId="45" xfId="1" applyNumberFormat="1" applyFont="1" applyBorder="1">
      <alignment vertical="center"/>
    </xf>
    <xf numFmtId="38" fontId="22" fillId="0" borderId="46" xfId="1" applyFont="1" applyBorder="1">
      <alignment vertical="center"/>
    </xf>
    <xf numFmtId="180" fontId="22" fillId="0" borderId="47" xfId="1" applyNumberFormat="1" applyFont="1" applyBorder="1">
      <alignment vertical="center"/>
    </xf>
    <xf numFmtId="179" fontId="22" fillId="0" borderId="47" xfId="1" applyNumberFormat="1" applyFont="1" applyBorder="1">
      <alignment vertical="center"/>
    </xf>
    <xf numFmtId="179" fontId="22" fillId="0" borderId="48" xfId="1" applyNumberFormat="1" applyFont="1" applyBorder="1">
      <alignment vertical="center"/>
    </xf>
    <xf numFmtId="0" fontId="22" fillId="0" borderId="0" xfId="0" applyFont="1" applyBorder="1">
      <alignment vertical="center"/>
    </xf>
    <xf numFmtId="0" fontId="22" fillId="0" borderId="46" xfId="0" applyFont="1" applyBorder="1" applyAlignment="1">
      <alignment horizontal="center" vertical="center"/>
    </xf>
    <xf numFmtId="180" fontId="22" fillId="0" borderId="47" xfId="0" applyNumberFormat="1" applyFont="1" applyBorder="1">
      <alignment vertical="center"/>
    </xf>
    <xf numFmtId="0" fontId="22" fillId="0" borderId="0" xfId="0" applyFont="1" applyBorder="1" applyAlignment="1">
      <alignment horizontal="center" vertical="center"/>
    </xf>
    <xf numFmtId="180" fontId="22" fillId="0" borderId="0" xfId="0" applyNumberFormat="1" applyFont="1" applyBorder="1">
      <alignment vertical="center"/>
    </xf>
    <xf numFmtId="179" fontId="22" fillId="0" borderId="0" xfId="1" applyNumberFormat="1" applyFont="1" applyBorder="1">
      <alignment vertical="center"/>
    </xf>
    <xf numFmtId="38" fontId="22" fillId="0" borderId="50" xfId="1" applyFont="1" applyBorder="1" applyAlignment="1">
      <alignment horizontal="center" vertical="center" wrapText="1"/>
    </xf>
    <xf numFmtId="38" fontId="22" fillId="0" borderId="50" xfId="1" applyFont="1" applyBorder="1" applyAlignment="1">
      <alignment vertical="center" wrapText="1"/>
    </xf>
    <xf numFmtId="179" fontId="22" fillId="0" borderId="50" xfId="1" applyNumberFormat="1" applyFont="1" applyBorder="1">
      <alignment vertical="center"/>
    </xf>
    <xf numFmtId="179" fontId="22" fillId="0" borderId="51" xfId="1" applyNumberFormat="1" applyFont="1" applyBorder="1">
      <alignment vertical="center"/>
    </xf>
    <xf numFmtId="180" fontId="22" fillId="0" borderId="55" xfId="1" applyNumberFormat="1" applyFont="1" applyBorder="1">
      <alignment vertical="center"/>
    </xf>
    <xf numFmtId="0" fontId="22" fillId="0" borderId="16" xfId="0" applyFont="1" applyBorder="1">
      <alignment vertical="center"/>
    </xf>
    <xf numFmtId="0" fontId="22" fillId="0" borderId="17" xfId="0" applyFont="1" applyBorder="1">
      <alignment vertical="center"/>
    </xf>
    <xf numFmtId="0" fontId="24" fillId="0" borderId="0" xfId="0" applyFont="1">
      <alignment vertical="center"/>
    </xf>
    <xf numFmtId="0" fontId="25" fillId="0" borderId="9" xfId="0" applyFont="1" applyBorder="1" applyAlignment="1">
      <alignment horizontal="center" vertical="center"/>
    </xf>
    <xf numFmtId="0" fontId="25" fillId="0" borderId="26" xfId="0" applyFont="1" applyBorder="1" applyAlignment="1">
      <alignment vertical="center"/>
    </xf>
    <xf numFmtId="0" fontId="25" fillId="0" borderId="54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25" fillId="0" borderId="32" xfId="0" applyFont="1" applyBorder="1" applyAlignment="1">
      <alignment vertical="center"/>
    </xf>
    <xf numFmtId="0" fontId="25" fillId="0" borderId="33" xfId="0" applyFont="1" applyBorder="1" applyAlignment="1">
      <alignment horizontal="center" vertical="center"/>
    </xf>
    <xf numFmtId="2" fontId="25" fillId="0" borderId="38" xfId="0" applyNumberFormat="1" applyFont="1" applyBorder="1" applyAlignment="1">
      <alignment horizontal="right" vertical="center"/>
    </xf>
    <xf numFmtId="2" fontId="25" fillId="0" borderId="6" xfId="0" applyNumberFormat="1" applyFont="1" applyBorder="1" applyAlignment="1">
      <alignment horizontal="right" vertical="center"/>
    </xf>
    <xf numFmtId="2" fontId="25" fillId="0" borderId="12" xfId="0" applyNumberFormat="1" applyFont="1" applyBorder="1" applyAlignment="1">
      <alignment horizontal="right" vertical="center"/>
    </xf>
    <xf numFmtId="0" fontId="25" fillId="0" borderId="49" xfId="0" applyFont="1" applyBorder="1" applyAlignment="1">
      <alignment horizontal="center" vertical="center"/>
    </xf>
    <xf numFmtId="0" fontId="25" fillId="0" borderId="52" xfId="0" applyFont="1" applyBorder="1" applyAlignment="1">
      <alignment horizontal="center" vertical="center"/>
    </xf>
    <xf numFmtId="0" fontId="25" fillId="0" borderId="53" xfId="0" applyFont="1" applyBorder="1" applyAlignment="1">
      <alignment horizontal="center" vertical="center"/>
    </xf>
    <xf numFmtId="0" fontId="25" fillId="0" borderId="53" xfId="0" applyFont="1" applyBorder="1" applyAlignment="1">
      <alignment vertical="center"/>
    </xf>
    <xf numFmtId="177" fontId="0" fillId="10" borderId="1" xfId="1" applyNumberFormat="1" applyFont="1" applyFill="1" applyBorder="1">
      <alignment vertical="center"/>
    </xf>
    <xf numFmtId="177" fontId="0" fillId="11" borderId="1" xfId="1" applyNumberFormat="1" applyFont="1" applyFill="1" applyBorder="1">
      <alignment vertical="center"/>
    </xf>
    <xf numFmtId="177" fontId="0" fillId="12" borderId="1" xfId="1" applyNumberFormat="1" applyFont="1" applyFill="1" applyBorder="1">
      <alignment vertical="center"/>
    </xf>
    <xf numFmtId="177" fontId="0" fillId="10" borderId="6" xfId="1" applyNumberFormat="1" applyFont="1" applyFill="1" applyBorder="1">
      <alignment vertical="center"/>
    </xf>
    <xf numFmtId="0" fontId="0" fillId="13" borderId="1" xfId="0" applyFill="1" applyBorder="1" applyAlignment="1">
      <alignment horizontal="center" vertical="center"/>
    </xf>
    <xf numFmtId="177" fontId="0" fillId="10" borderId="1" xfId="0" applyNumberFormat="1" applyFill="1" applyBorder="1">
      <alignment vertical="center"/>
    </xf>
    <xf numFmtId="0" fontId="4" fillId="13" borderId="6" xfId="0" applyFont="1" applyFill="1" applyBorder="1" applyAlignment="1">
      <alignment horizontal="center" vertical="center"/>
    </xf>
    <xf numFmtId="177" fontId="0" fillId="0" borderId="21" xfId="0" applyNumberFormat="1" applyFill="1" applyBorder="1">
      <alignment vertical="center"/>
    </xf>
    <xf numFmtId="0" fontId="0" fillId="13" borderId="6" xfId="0" applyFill="1" applyBorder="1" applyAlignment="1">
      <alignment horizontal="center" vertical="center"/>
    </xf>
    <xf numFmtId="9" fontId="0" fillId="13" borderId="1" xfId="0" applyNumberFormat="1" applyFill="1" applyBorder="1" applyAlignment="1">
      <alignment horizontal="center" vertical="center"/>
    </xf>
    <xf numFmtId="0" fontId="4" fillId="13" borderId="1" xfId="0" applyFont="1" applyFill="1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0" fillId="4" borderId="0" xfId="0" applyFill="1">
      <alignment vertical="center"/>
    </xf>
    <xf numFmtId="177" fontId="0" fillId="15" borderId="1" xfId="0" applyNumberFormat="1" applyFill="1" applyBorder="1">
      <alignment vertical="center"/>
    </xf>
    <xf numFmtId="177" fontId="0" fillId="16" borderId="1" xfId="0" applyNumberFormat="1" applyFill="1" applyBorder="1">
      <alignment vertical="center"/>
    </xf>
    <xf numFmtId="177" fontId="5" fillId="3" borderId="1" xfId="0" applyNumberFormat="1" applyFont="1" applyFill="1" applyBorder="1">
      <alignment vertical="center"/>
    </xf>
    <xf numFmtId="0" fontId="5" fillId="0" borderId="0" xfId="0" applyFont="1" applyBorder="1">
      <alignment vertical="center"/>
    </xf>
    <xf numFmtId="0" fontId="0" fillId="0" borderId="16" xfId="0" applyFill="1" applyBorder="1" applyAlignment="1">
      <alignment horizontal="center" vertical="center"/>
    </xf>
    <xf numFmtId="177" fontId="0" fillId="0" borderId="16" xfId="1" applyNumberFormat="1" applyFont="1" applyBorder="1">
      <alignment vertical="center"/>
    </xf>
    <xf numFmtId="0" fontId="9" fillId="14" borderId="0" xfId="0" applyFont="1" applyFill="1">
      <alignment vertical="center"/>
    </xf>
    <xf numFmtId="0" fontId="26" fillId="14" borderId="0" xfId="0" applyFont="1" applyFill="1">
      <alignment vertical="center"/>
    </xf>
    <xf numFmtId="176" fontId="0" fillId="10" borderId="1" xfId="0" applyNumberFormat="1" applyFill="1" applyBorder="1">
      <alignment vertical="center"/>
    </xf>
    <xf numFmtId="176" fontId="0" fillId="10" borderId="2" xfId="0" applyNumberFormat="1" applyFill="1" applyBorder="1">
      <alignment vertical="center"/>
    </xf>
    <xf numFmtId="177" fontId="0" fillId="12" borderId="4" xfId="1" applyNumberFormat="1" applyFont="1" applyFill="1" applyBorder="1">
      <alignment vertical="center"/>
    </xf>
    <xf numFmtId="0" fontId="0" fillId="10" borderId="2" xfId="0" applyFill="1" applyBorder="1" applyAlignment="1">
      <alignment horizontal="center" vertical="center"/>
    </xf>
    <xf numFmtId="0" fontId="0" fillId="0" borderId="23" xfId="0" applyBorder="1">
      <alignment vertical="center"/>
    </xf>
    <xf numFmtId="0" fontId="0" fillId="0" borderId="63" xfId="0" applyBorder="1">
      <alignment vertical="center"/>
    </xf>
    <xf numFmtId="38" fontId="0" fillId="17" borderId="14" xfId="0" applyNumberFormat="1" applyFill="1" applyBorder="1">
      <alignment vertical="center"/>
    </xf>
    <xf numFmtId="0" fontId="0" fillId="2" borderId="6" xfId="0" applyFill="1" applyBorder="1" applyAlignment="1">
      <alignment horizontal="center" vertical="center"/>
    </xf>
    <xf numFmtId="0" fontId="0" fillId="13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38" fontId="12" fillId="3" borderId="13" xfId="0" applyNumberFormat="1" applyFont="1" applyFill="1" applyBorder="1" applyProtection="1">
      <alignment vertical="center"/>
    </xf>
    <xf numFmtId="38" fontId="21" fillId="0" borderId="11" xfId="1" applyFont="1" applyFill="1" applyBorder="1" applyProtection="1">
      <alignment vertical="center"/>
    </xf>
    <xf numFmtId="38" fontId="21" fillId="0" borderId="12" xfId="1" applyFont="1" applyFill="1" applyBorder="1" applyProtection="1">
      <alignment vertical="center"/>
    </xf>
    <xf numFmtId="0" fontId="0" fillId="0" borderId="2" xfId="0" applyFill="1" applyBorder="1" applyAlignment="1">
      <alignment horizontal="center" vertical="center"/>
    </xf>
    <xf numFmtId="0" fontId="10" fillId="7" borderId="0" xfId="0" applyFont="1" applyFill="1" applyAlignment="1" applyProtection="1">
      <alignment horizontal="center" vertical="center"/>
    </xf>
    <xf numFmtId="0" fontId="15" fillId="6" borderId="61" xfId="0" applyFont="1" applyFill="1" applyBorder="1" applyAlignment="1" applyProtection="1">
      <alignment horizontal="center" vertical="center"/>
    </xf>
    <xf numFmtId="0" fontId="15" fillId="6" borderId="62" xfId="0" applyFont="1" applyFill="1" applyBorder="1" applyAlignment="1" applyProtection="1">
      <alignment horizontal="center" vertical="center"/>
    </xf>
    <xf numFmtId="0" fontId="25" fillId="0" borderId="40" xfId="0" applyFont="1" applyBorder="1" applyAlignment="1">
      <alignment vertical="center"/>
    </xf>
    <xf numFmtId="0" fontId="25" fillId="0" borderId="41" xfId="0" applyFont="1" applyBorder="1" applyAlignment="1">
      <alignment vertical="center"/>
    </xf>
    <xf numFmtId="0" fontId="25" fillId="0" borderId="43" xfId="0" applyFont="1" applyBorder="1" applyAlignment="1">
      <alignment vertical="center"/>
    </xf>
    <xf numFmtId="0" fontId="25" fillId="0" borderId="44" xfId="0" applyFont="1" applyBorder="1" applyAlignment="1">
      <alignment vertical="center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6" xfId="0" applyFont="1" applyBorder="1" applyAlignment="1">
      <alignment vertical="center"/>
    </xf>
    <xf numFmtId="0" fontId="25" fillId="0" borderId="36" xfId="0" applyFont="1" applyBorder="1" applyAlignment="1">
      <alignment vertical="center"/>
    </xf>
    <xf numFmtId="0" fontId="25" fillId="0" borderId="37" xfId="0" applyFont="1" applyBorder="1" applyAlignment="1">
      <alignment vertical="center"/>
    </xf>
    <xf numFmtId="0" fontId="25" fillId="0" borderId="26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27" xfId="0" applyFont="1" applyBorder="1" applyAlignment="1">
      <alignment vertical="center"/>
    </xf>
    <xf numFmtId="0" fontId="8" fillId="0" borderId="40" xfId="0" applyFont="1" applyBorder="1" applyAlignment="1">
      <alignment vertical="center"/>
    </xf>
    <xf numFmtId="0" fontId="8" fillId="0" borderId="41" xfId="0" applyFont="1" applyBorder="1" applyAlignment="1">
      <alignment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7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0" fontId="8" fillId="0" borderId="43" xfId="0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66CCFF"/>
      <color rgb="FFFFFFCC"/>
      <color rgb="FFCCFFFF"/>
      <color rgb="FF99CCFF"/>
      <color rgb="FFCC99FF"/>
      <color rgb="FF9966FF"/>
      <color rgb="FFCC66FF"/>
      <color rgb="FF9900FF"/>
      <color rgb="FF3366FF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 /><Relationship Id="rId3" Type="http://schemas.openxmlformats.org/officeDocument/2006/relationships/worksheet" Target="worksheets/sheet3.xml" /><Relationship Id="rId7" Type="http://schemas.openxmlformats.org/officeDocument/2006/relationships/styles" Target="style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theme" Target="theme/theme1.xml" /><Relationship Id="rId5" Type="http://schemas.openxmlformats.org/officeDocument/2006/relationships/worksheet" Target="worksheets/sheet5.xml" /><Relationship Id="rId4" Type="http://schemas.openxmlformats.org/officeDocument/2006/relationships/worksheet" Target="worksheets/sheet4.xml" /><Relationship Id="rId9" Type="http://schemas.openxmlformats.org/officeDocument/2006/relationships/calcChain" Target="calcChain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7</xdr:row>
      <xdr:rowOff>117475</xdr:rowOff>
    </xdr:from>
    <xdr:to>
      <xdr:col>5</xdr:col>
      <xdr:colOff>130175</xdr:colOff>
      <xdr:row>8</xdr:row>
      <xdr:rowOff>317500</xdr:rowOff>
    </xdr:to>
    <xdr:sp textlink="">
      <xdr:nvSpPr>
        <xdr:cNvPr id="2" name="テキスト ボックス 1"/>
        <xdr:cNvSpPr txBox="1"/>
      </xdr:nvSpPr>
      <xdr:spPr>
        <a:xfrm>
          <a:off x="714375" y="3403600"/>
          <a:ext cx="3035300" cy="581025"/>
        </a:xfrm>
        <a:prstGeom prst="rect">
          <a:avLst/>
        </a:prstGeom>
        <a:solidFill>
          <a:schemeClr val="tx1">
            <a:lumMod val="65000"/>
            <a:lumOff val="35000"/>
            <a:alpha val="77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/>
            <a:t>　「口径」と「使用水量」を入力し</a:t>
          </a:r>
          <a:endParaRPr kumimoji="1" lang="en-US" altLang="ja-JP" sz="1200" b="1"/>
        </a:p>
        <a:p>
          <a:r>
            <a:rPr kumimoji="1" lang="ja-JP" altLang="en-US" sz="1200" b="1"/>
            <a:t>　「使用形態」を選択してください。</a:t>
          </a:r>
        </a:p>
      </xdr:txBody>
    </xdr:sp>
    <xdr:clientData/>
  </xdr:twoCellAnchor>
  <xdr:twoCellAnchor>
    <xdr:from>
      <xdr:col>1</xdr:col>
      <xdr:colOff>364021</xdr:colOff>
      <xdr:row>6</xdr:row>
      <xdr:rowOff>302591</xdr:rowOff>
    </xdr:from>
    <xdr:to>
      <xdr:col>5</xdr:col>
      <xdr:colOff>49696</xdr:colOff>
      <xdr:row>8</xdr:row>
      <xdr:rowOff>206375</xdr:rowOff>
    </xdr:to>
    <xdr:sp textlink="">
      <xdr:nvSpPr>
        <xdr:cNvPr id="11" name="テキスト ボックス 10"/>
        <xdr:cNvSpPr txBox="1"/>
      </xdr:nvSpPr>
      <xdr:spPr>
        <a:xfrm>
          <a:off x="633896" y="3255341"/>
          <a:ext cx="3019425" cy="634034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gradFill>
            <a:gsLst>
              <a:gs pos="0">
                <a:schemeClr val="accent1">
                  <a:lumMod val="5000"/>
                  <a:lumOff val="95000"/>
                </a:schemeClr>
              </a:gs>
              <a:gs pos="74000">
                <a:schemeClr val="accent1">
                  <a:lumMod val="45000"/>
                  <a:lumOff val="55000"/>
                </a:schemeClr>
              </a:gs>
              <a:gs pos="83000">
                <a:schemeClr val="accent1">
                  <a:lumMod val="45000"/>
                  <a:lumOff val="55000"/>
                </a:schemeClr>
              </a:gs>
              <a:gs pos="100000">
                <a:schemeClr val="accent1">
                  <a:lumMod val="30000"/>
                  <a:lumOff val="70000"/>
                </a:schemeClr>
              </a:gs>
            </a:gsLst>
            <a:lin ang="5400000" scaled="1"/>
          </a:gra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/>
            <a:t>　「口径」と「使用水量」を入力し</a:t>
          </a:r>
          <a:endParaRPr kumimoji="1" lang="en-US" altLang="ja-JP" sz="1200" b="1"/>
        </a:p>
        <a:p>
          <a:r>
            <a:rPr kumimoji="1" lang="ja-JP" altLang="en-US" sz="1200" b="1"/>
            <a:t>　「使用形態」を選択してください。</a:t>
          </a:r>
        </a:p>
      </xdr:txBody>
    </xdr:sp>
    <xdr:clientData/>
  </xdr:twoCellAnchor>
  <xdr:twoCellAnchor>
    <xdr:from>
      <xdr:col>5</xdr:col>
      <xdr:colOff>380999</xdr:colOff>
      <xdr:row>4</xdr:row>
      <xdr:rowOff>158750</xdr:rowOff>
    </xdr:from>
    <xdr:to>
      <xdr:col>10</xdr:col>
      <xdr:colOff>15875</xdr:colOff>
      <xdr:row>6</xdr:row>
      <xdr:rowOff>31750</xdr:rowOff>
    </xdr:to>
    <xdr:sp textlink="">
      <xdr:nvSpPr>
        <xdr:cNvPr id="3" name="テキスト ボックス 2"/>
        <xdr:cNvSpPr txBox="1"/>
      </xdr:nvSpPr>
      <xdr:spPr>
        <a:xfrm>
          <a:off x="3984624" y="2079625"/>
          <a:ext cx="5540376" cy="904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100"/>
            <a:t>※</a:t>
          </a:r>
          <a:r>
            <a:rPr kumimoji="1" lang="ja-JP" altLang="en-US" sz="1100" u="sng"/>
            <a:t>２か月料金で計算します。</a:t>
          </a:r>
          <a:endParaRPr kumimoji="1" lang="en-US" altLang="ja-JP" sz="1100" u="sng"/>
        </a:p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消費税及び地方消費税の額を含んでいます。</a:t>
          </a:r>
          <a:endParaRPr kumimoji="1" lang="en-US" altLang="ja-JP" sz="1100"/>
        </a:p>
        <a:p>
          <a:r>
            <a:rPr kumimoji="1" lang="en-US" altLang="ja-JP" sz="1100"/>
            <a:t>※</a:t>
          </a:r>
          <a:r>
            <a:rPr kumimoji="1" lang="ja-JP" altLang="en-US" sz="1100"/>
            <a:t>計算結果はあくまで参考数値であり。実際の請求額とは異なる場合があります。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/Relationships>
</file>

<file path=xl/worksheets/_rels/sheet2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 />
</file>

<file path=xl/worksheets/_rels/sheet4.xml.rels>&#65279;<?xml version="1.0" encoding="utf-8" standalone="yes"?>
<Relationships xmlns="http://schemas.openxmlformats.org/package/2006/relationships" />
</file>

<file path=xl/worksheets/_rels/sheet5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view="pageBreakPreview" zoomScaleNormal="70" zoomScaleSheetLayoutView="100" workbookViewId="0">
      <selection activeCell="C4" sqref="C4"/>
    </sheetView>
  </sheetViews>
  <sheetFormatPr defaultRowHeight="18.75" x14ac:dyDescent="0.4"/>
  <cols>
    <col min="1" max="1" width="3.5" style="100" customWidth="1"/>
    <col min="2" max="2" width="5.875" style="100" customWidth="1"/>
    <col min="3" max="3" width="15.25" style="100" customWidth="1"/>
    <col min="4" max="4" width="6.125" style="100" customWidth="1"/>
    <col min="5" max="5" width="16.75" style="100" customWidth="1"/>
    <col min="6" max="6" width="5.125" style="100" customWidth="1"/>
    <col min="7" max="7" width="17" style="100" bestFit="1" customWidth="1"/>
    <col min="8" max="8" width="17.625" style="100" customWidth="1"/>
    <col min="9" max="9" width="19.5" style="100" customWidth="1"/>
    <col min="10" max="10" width="18" style="100" customWidth="1"/>
    <col min="11" max="11" width="4.5" style="100" customWidth="1"/>
    <col min="12" max="16384" width="9" style="100"/>
  </cols>
  <sheetData>
    <row r="1" spans="1:11" ht="42.75" customHeight="1" x14ac:dyDescent="0.4">
      <c r="A1" s="214" t="s">
        <v>29</v>
      </c>
      <c r="B1" s="214"/>
      <c r="C1" s="214"/>
      <c r="D1" s="214"/>
      <c r="E1" s="214"/>
      <c r="F1" s="214"/>
      <c r="G1" s="214"/>
      <c r="H1" s="99" t="s">
        <v>93</v>
      </c>
      <c r="I1" s="99"/>
      <c r="J1" s="99"/>
      <c r="K1" s="99"/>
    </row>
    <row r="2" spans="1:11" ht="29.25" customHeight="1" thickBot="1" x14ac:dyDescent="0.45">
      <c r="A2" s="99"/>
      <c r="B2" s="99"/>
      <c r="C2" s="101"/>
      <c r="D2" s="102"/>
      <c r="E2" s="101"/>
      <c r="F2" s="102"/>
      <c r="G2" s="103"/>
      <c r="H2" s="99"/>
      <c r="I2" s="99"/>
      <c r="J2" s="99"/>
      <c r="K2" s="99"/>
    </row>
    <row r="3" spans="1:11" ht="41.25" customHeight="1" thickBot="1" x14ac:dyDescent="0.45">
      <c r="A3" s="99"/>
      <c r="B3" s="99"/>
      <c r="C3" s="104" t="s">
        <v>4</v>
      </c>
      <c r="D3" s="105"/>
      <c r="E3" s="106" t="s">
        <v>7</v>
      </c>
      <c r="F3" s="99"/>
      <c r="G3" s="215" t="s">
        <v>87</v>
      </c>
      <c r="H3" s="107" t="s">
        <v>74</v>
      </c>
      <c r="I3" s="108" t="s">
        <v>75</v>
      </c>
      <c r="J3" s="109" t="s">
        <v>76</v>
      </c>
      <c r="K3" s="99"/>
    </row>
    <row r="4" spans="1:11" ht="38.25" customHeight="1" thickTop="1" thickBot="1" x14ac:dyDescent="0.45">
      <c r="A4" s="99"/>
      <c r="B4" s="99"/>
      <c r="C4" s="110">
        <v>20</v>
      </c>
      <c r="D4" s="111" t="s">
        <v>11</v>
      </c>
      <c r="E4" s="112">
        <v>40</v>
      </c>
      <c r="F4" s="103" t="s">
        <v>23</v>
      </c>
      <c r="G4" s="216"/>
      <c r="H4" s="211">
        <f>IF(C6="下水のみ",0,水道!S29)</f>
        <v>5214</v>
      </c>
      <c r="I4" s="212">
        <f>IF(C6="上水のみ",0,下水道!T35)</f>
        <v>5554</v>
      </c>
      <c r="J4" s="210">
        <f t="shared" ref="J4" si="0">H4+I4</f>
        <v>10768</v>
      </c>
      <c r="K4" s="99"/>
    </row>
    <row r="5" spans="1:11" ht="38.25" customHeight="1" thickTop="1" thickBot="1" x14ac:dyDescent="0.45">
      <c r="A5" s="99"/>
      <c r="B5" s="99"/>
      <c r="C5" s="113" t="s">
        <v>25</v>
      </c>
      <c r="D5" s="99"/>
      <c r="E5" s="99"/>
      <c r="F5" s="99"/>
      <c r="G5" s="105"/>
      <c r="H5" s="114"/>
      <c r="I5" s="114"/>
      <c r="J5" s="114"/>
      <c r="K5" s="99"/>
    </row>
    <row r="6" spans="1:11" s="116" customFormat="1" ht="42" customHeight="1" thickTop="1" thickBot="1" x14ac:dyDescent="0.45">
      <c r="A6" s="115"/>
      <c r="B6" s="115"/>
      <c r="C6" s="117" t="s">
        <v>26</v>
      </c>
      <c r="D6" s="115"/>
      <c r="E6" s="115"/>
      <c r="F6" s="115"/>
      <c r="G6" s="99"/>
      <c r="H6" s="99"/>
      <c r="I6" s="99"/>
      <c r="J6" s="99"/>
      <c r="K6" s="99"/>
    </row>
    <row r="7" spans="1:11" s="116" customFormat="1" ht="27.6" customHeight="1" thickTop="1" x14ac:dyDescent="0.4">
      <c r="A7" s="115"/>
      <c r="B7" s="115"/>
      <c r="C7" s="115"/>
      <c r="D7" s="115"/>
      <c r="E7" s="115"/>
      <c r="F7" s="115"/>
      <c r="G7" s="99"/>
      <c r="H7" s="99"/>
      <c r="I7" s="99"/>
      <c r="J7" s="99"/>
      <c r="K7" s="99"/>
    </row>
    <row r="8" spans="1:11" s="116" customFormat="1" ht="30" customHeight="1" x14ac:dyDescent="0.4">
      <c r="A8" s="115"/>
      <c r="B8" s="115"/>
      <c r="C8" s="115"/>
      <c r="D8" s="115"/>
      <c r="E8" s="115"/>
      <c r="F8" s="115"/>
      <c r="G8" s="99"/>
      <c r="H8" s="99"/>
      <c r="I8" s="99"/>
      <c r="J8" s="99"/>
      <c r="K8" s="115"/>
    </row>
    <row r="9" spans="1:11" s="116" customFormat="1" ht="30" customHeight="1" x14ac:dyDescent="0.4">
      <c r="A9" s="115"/>
      <c r="B9" s="115"/>
      <c r="C9" s="115"/>
      <c r="D9" s="115"/>
      <c r="E9" s="115"/>
      <c r="F9" s="115"/>
      <c r="G9" s="99"/>
      <c r="H9" s="99"/>
      <c r="I9" s="99"/>
      <c r="J9" s="99"/>
      <c r="K9" s="115"/>
    </row>
    <row r="10" spans="1:11" ht="27.6" customHeight="1" x14ac:dyDescent="0.4">
      <c r="A10" s="99"/>
      <c r="B10" s="99"/>
      <c r="C10" s="99"/>
      <c r="D10" s="99"/>
      <c r="E10" s="99"/>
      <c r="F10" s="99"/>
      <c r="G10" s="99"/>
      <c r="H10" s="99"/>
      <c r="I10" s="99"/>
      <c r="J10" s="99"/>
      <c r="K10" s="99"/>
    </row>
    <row r="11" spans="1:11" ht="27.6" customHeight="1" x14ac:dyDescent="0.4">
      <c r="A11" s="99"/>
      <c r="B11" s="99"/>
      <c r="C11" s="99"/>
      <c r="D11" s="99"/>
      <c r="E11" s="99"/>
      <c r="F11" s="99"/>
      <c r="G11" s="99"/>
      <c r="H11" s="99"/>
      <c r="I11" s="99"/>
      <c r="J11" s="99"/>
      <c r="K11" s="99"/>
    </row>
    <row r="12" spans="1:11" ht="30.75" customHeight="1" x14ac:dyDescent="0.4">
      <c r="A12" s="99"/>
      <c r="B12" s="99"/>
      <c r="C12" s="99"/>
      <c r="D12" s="99"/>
      <c r="E12" s="99"/>
      <c r="F12" s="99"/>
      <c r="G12" s="99"/>
      <c r="H12" s="99"/>
      <c r="I12" s="99"/>
      <c r="J12" s="99"/>
      <c r="K12" s="99"/>
    </row>
    <row r="13" spans="1:11" x14ac:dyDescent="0.4">
      <c r="A13" s="99"/>
      <c r="B13" s="99"/>
      <c r="C13" s="99"/>
      <c r="D13" s="99"/>
      <c r="E13" s="99"/>
      <c r="F13" s="99"/>
      <c r="K13" s="99"/>
    </row>
    <row r="14" spans="1:11" x14ac:dyDescent="0.4">
      <c r="A14" s="99"/>
      <c r="B14" s="99"/>
      <c r="C14" s="99"/>
      <c r="D14" s="99"/>
      <c r="E14" s="99"/>
      <c r="F14" s="99"/>
      <c r="K14" s="99"/>
    </row>
    <row r="15" spans="1:11" x14ac:dyDescent="0.4">
      <c r="A15" s="99"/>
      <c r="B15" s="99"/>
      <c r="C15" s="99"/>
      <c r="D15" s="99"/>
      <c r="E15" s="99"/>
      <c r="F15" s="99"/>
      <c r="K15" s="99"/>
    </row>
    <row r="16" spans="1:11" x14ac:dyDescent="0.4">
      <c r="A16" s="99"/>
      <c r="B16" s="99"/>
      <c r="C16" s="99"/>
      <c r="D16" s="99"/>
      <c r="E16" s="99"/>
      <c r="F16" s="99"/>
      <c r="K16" s="99"/>
    </row>
    <row r="17" spans="1:11" x14ac:dyDescent="0.4">
      <c r="A17" s="99"/>
      <c r="B17" s="99"/>
      <c r="C17" s="99"/>
      <c r="D17" s="99"/>
      <c r="E17" s="99"/>
      <c r="F17" s="99"/>
      <c r="K17" s="99"/>
    </row>
  </sheetData>
  <sheetProtection sheet="1" objects="1" scenarios="1" selectLockedCells="1"/>
  <mergeCells count="2">
    <mergeCell ref="A1:G1"/>
    <mergeCell ref="G3:G4"/>
  </mergeCells>
  <phoneticPr fontId="2"/>
  <dataValidations count="3">
    <dataValidation type="list" allowBlank="1" showInputMessage="1" showErrorMessage="1" errorTitle="選択エラー" error="どれか選べ！" prompt="いずれか選択してください" sqref="C6">
      <formula1>"上下水,上水のみ,下水のみ"</formula1>
    </dataValidation>
    <dataValidation type="list" allowBlank="1" showInputMessage="1" showErrorMessage="1" sqref="D2 F2">
      <formula1>"No,Yes"</formula1>
    </dataValidation>
    <dataValidation type="list" allowBlank="1" showInputMessage="1" showErrorMessage="1" errorTitle="口径エラー" error="規定外の口径を入力しないでください" prompt="規定外の口径を入力しないでください" sqref="C4">
      <formula1>"13,20,25,30,40,50,75,100,150,200"</formula1>
    </dataValidation>
  </dataValidations>
  <pageMargins left="0.70866141732283472" right="0.70866141732283472" top="0.74803149606299213" bottom="0.74803149606299213" header="0.31496062992125984" footer="0.31496062992125984"/>
  <pageSetup paperSize="9" scale="9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45"/>
  <sheetViews>
    <sheetView zoomScaleNormal="100" workbookViewId="0">
      <selection activeCell="I16" sqref="I16"/>
    </sheetView>
  </sheetViews>
  <sheetFormatPr defaultRowHeight="18.75" x14ac:dyDescent="0.4"/>
  <cols>
    <col min="1" max="2" width="9" style="118"/>
    <col min="3" max="3" width="11.25" style="118" customWidth="1"/>
    <col min="4" max="4" width="9.125" style="118" bestFit="1" customWidth="1"/>
    <col min="5" max="5" width="12.75" style="118" bestFit="1" customWidth="1"/>
    <col min="6" max="6" width="9.125" style="118" bestFit="1" customWidth="1"/>
    <col min="7" max="7" width="13.875" style="118" bestFit="1" customWidth="1"/>
    <col min="8" max="8" width="9.125" style="118" bestFit="1" customWidth="1"/>
    <col min="9" max="9" width="15" style="118" customWidth="1"/>
    <col min="10" max="10" width="9" style="118"/>
    <col min="11" max="11" width="12.375" style="118" bestFit="1" customWidth="1"/>
    <col min="12" max="16" width="9" style="118"/>
    <col min="17" max="17" width="10.375" style="118" bestFit="1" customWidth="1"/>
    <col min="18" max="18" width="9" style="118"/>
    <col min="19" max="19" width="10.375" style="118" bestFit="1" customWidth="1"/>
    <col min="20" max="16384" width="9" style="118"/>
  </cols>
  <sheetData>
    <row r="1" spans="1:12" ht="19.5" thickBot="1" x14ac:dyDescent="0.45"/>
    <row r="2" spans="1:12" ht="24.75" thickBot="1" x14ac:dyDescent="0.45">
      <c r="A2" s="119" t="s">
        <v>50</v>
      </c>
      <c r="B2" s="118" t="s">
        <v>68</v>
      </c>
      <c r="C2" s="120">
        <v>45050</v>
      </c>
      <c r="D2" s="118" t="s">
        <v>69</v>
      </c>
      <c r="E2" s="120">
        <v>45087</v>
      </c>
      <c r="F2" s="118">
        <f>E2-C2+1</f>
        <v>38</v>
      </c>
      <c r="G2" s="118" t="s">
        <v>72</v>
      </c>
    </row>
    <row r="3" spans="1:12" ht="20.25" thickBot="1" x14ac:dyDescent="0.45">
      <c r="A3" s="162" t="s">
        <v>33</v>
      </c>
      <c r="B3" s="162"/>
      <c r="C3" s="162"/>
      <c r="D3" s="118" t="s">
        <v>4</v>
      </c>
      <c r="E3" s="118" t="s">
        <v>67</v>
      </c>
    </row>
    <row r="4" spans="1:12" ht="35.25" customHeight="1" thickBot="1" x14ac:dyDescent="0.45">
      <c r="A4" s="226" t="s">
        <v>34</v>
      </c>
      <c r="B4" s="227"/>
      <c r="C4" s="228"/>
      <c r="D4" s="163" t="s">
        <v>35</v>
      </c>
      <c r="E4" s="121" t="s">
        <v>5</v>
      </c>
      <c r="F4" s="122" t="s">
        <v>46</v>
      </c>
      <c r="G4" s="123">
        <v>770</v>
      </c>
      <c r="H4" s="124" t="s">
        <v>47</v>
      </c>
      <c r="I4" s="125">
        <v>770</v>
      </c>
    </row>
    <row r="5" spans="1:12" ht="35.25" customHeight="1" thickTop="1" thickBot="1" x14ac:dyDescent="0.45">
      <c r="A5" s="164"/>
      <c r="B5" s="126"/>
      <c r="C5" s="165" t="s">
        <v>48</v>
      </c>
      <c r="D5" s="127" t="s">
        <v>49</v>
      </c>
      <c r="E5" s="128">
        <f>E2-C2+1</f>
        <v>38</v>
      </c>
      <c r="F5" s="129">
        <f>IF(E5&lt;=31,E5,(ROUNDUP((E5/2),0)))</f>
        <v>19</v>
      </c>
      <c r="G5" s="130">
        <f>G4*(F5/31)</f>
        <v>471.93548387096774</v>
      </c>
      <c r="H5" s="131">
        <f>E5-F5</f>
        <v>19</v>
      </c>
      <c r="I5" s="132">
        <f>I4*(H5/31)</f>
        <v>471.93548387096774</v>
      </c>
    </row>
    <row r="6" spans="1:12" ht="21" thickTop="1" thickBot="1" x14ac:dyDescent="0.45">
      <c r="A6" s="166"/>
      <c r="B6" s="167"/>
      <c r="C6" s="168"/>
      <c r="D6" s="169"/>
      <c r="E6" s="133">
        <v>41</v>
      </c>
      <c r="F6" s="133">
        <f>IF(E5&lt;=31,E6,(ROUNDUP((E6/2),0)))</f>
        <v>21</v>
      </c>
      <c r="G6" s="133"/>
      <c r="H6" s="133">
        <f>E6-F6</f>
        <v>20</v>
      </c>
      <c r="I6" s="134"/>
      <c r="K6" s="135" t="s">
        <v>60</v>
      </c>
      <c r="L6" s="135">
        <v>770</v>
      </c>
    </row>
    <row r="7" spans="1:12" ht="20.25" thickTop="1" x14ac:dyDescent="0.4">
      <c r="A7" s="224" t="s">
        <v>38</v>
      </c>
      <c r="B7" s="225"/>
      <c r="C7" s="225"/>
      <c r="D7" s="170">
        <v>66</v>
      </c>
      <c r="E7" s="136"/>
      <c r="F7" s="136">
        <f>IF(F6&gt;=10,10,F6)</f>
        <v>10</v>
      </c>
      <c r="G7" s="137">
        <f>F7*D7</f>
        <v>660</v>
      </c>
      <c r="H7" s="136">
        <f>IF(H6&gt;=10,10,H6)</f>
        <v>10</v>
      </c>
      <c r="I7" s="138">
        <f t="shared" ref="I7:I12" si="0">H7*D7</f>
        <v>660</v>
      </c>
      <c r="K7" s="135" t="s">
        <v>61</v>
      </c>
      <c r="L7" s="135">
        <v>1100</v>
      </c>
    </row>
    <row r="8" spans="1:12" ht="19.5" x14ac:dyDescent="0.4">
      <c r="A8" s="217" t="s">
        <v>39</v>
      </c>
      <c r="B8" s="218"/>
      <c r="C8" s="218"/>
      <c r="D8" s="171">
        <v>117.7</v>
      </c>
      <c r="E8" s="139"/>
      <c r="F8" s="139">
        <f>IF((F6-F7)&gt;=10,10,(F6-F7))</f>
        <v>10</v>
      </c>
      <c r="G8" s="140">
        <f t="shared" ref="G8:G12" si="1">F8*D8</f>
        <v>1177</v>
      </c>
      <c r="H8" s="139">
        <f>IF((H6-H7)&gt;=10,10,(H6-H7))</f>
        <v>10</v>
      </c>
      <c r="I8" s="141">
        <f t="shared" si="0"/>
        <v>1177</v>
      </c>
      <c r="K8" s="135" t="s">
        <v>62</v>
      </c>
      <c r="L8" s="135">
        <v>2882</v>
      </c>
    </row>
    <row r="9" spans="1:12" ht="19.5" x14ac:dyDescent="0.4">
      <c r="A9" s="217" t="s">
        <v>40</v>
      </c>
      <c r="B9" s="218"/>
      <c r="C9" s="218"/>
      <c r="D9" s="171">
        <v>156.19999999999999</v>
      </c>
      <c r="E9" s="139"/>
      <c r="F9" s="139">
        <f>IF((F6-F7-F8)&gt;=30,30,(F6-F7-F8))</f>
        <v>1</v>
      </c>
      <c r="G9" s="140">
        <f t="shared" si="1"/>
        <v>156.19999999999999</v>
      </c>
      <c r="H9" s="139">
        <f>IF((H6-H7-H8)&gt;=30,30,(H6-H7-H8))</f>
        <v>0</v>
      </c>
      <c r="I9" s="141">
        <f t="shared" si="0"/>
        <v>0</v>
      </c>
      <c r="K9" s="135" t="s">
        <v>63</v>
      </c>
      <c r="L9" s="135">
        <v>5764</v>
      </c>
    </row>
    <row r="10" spans="1:12" ht="19.5" x14ac:dyDescent="0.4">
      <c r="A10" s="217" t="s">
        <v>41</v>
      </c>
      <c r="B10" s="218"/>
      <c r="C10" s="218"/>
      <c r="D10" s="171">
        <v>181.5</v>
      </c>
      <c r="E10" s="139"/>
      <c r="F10" s="139">
        <f>IF((F6-F7-F8-F9)&gt;=50,50,(F6-F7-F8-F9))</f>
        <v>0</v>
      </c>
      <c r="G10" s="140">
        <f t="shared" si="1"/>
        <v>0</v>
      </c>
      <c r="H10" s="139">
        <f>IF((H6-H7-H8-H9)&gt;=50,50,(H6-H7-H8-H9))</f>
        <v>0</v>
      </c>
      <c r="I10" s="141">
        <f t="shared" si="0"/>
        <v>0</v>
      </c>
      <c r="K10" s="135" t="s">
        <v>64</v>
      </c>
      <c r="L10" s="135">
        <v>11407</v>
      </c>
    </row>
    <row r="11" spans="1:12" ht="19.5" x14ac:dyDescent="0.4">
      <c r="A11" s="217" t="s">
        <v>42</v>
      </c>
      <c r="B11" s="218"/>
      <c r="C11" s="218"/>
      <c r="D11" s="171">
        <v>201.3</v>
      </c>
      <c r="E11" s="139"/>
      <c r="F11" s="139">
        <f>IF((F6-F7-F8-F9-F10)&gt;=400,400,(F6-F7-F8-F9-F10))</f>
        <v>0</v>
      </c>
      <c r="G11" s="140">
        <f t="shared" si="1"/>
        <v>0</v>
      </c>
      <c r="H11" s="139">
        <f>IF((H6-H7-H8-H9-H10)&gt;=400,400,(H6-H7-H8-H9-H10))</f>
        <v>0</v>
      </c>
      <c r="I11" s="141">
        <f t="shared" si="0"/>
        <v>0</v>
      </c>
      <c r="K11" s="135" t="s">
        <v>65</v>
      </c>
      <c r="L11" s="135">
        <v>20427</v>
      </c>
    </row>
    <row r="12" spans="1:12" ht="20.25" thickBot="1" x14ac:dyDescent="0.45">
      <c r="A12" s="219" t="s">
        <v>43</v>
      </c>
      <c r="B12" s="220"/>
      <c r="C12" s="220"/>
      <c r="D12" s="172">
        <v>214.5</v>
      </c>
      <c r="E12" s="142"/>
      <c r="F12" s="142">
        <f>F6-SUM(F7:F11)</f>
        <v>0</v>
      </c>
      <c r="G12" s="143">
        <f t="shared" si="1"/>
        <v>0</v>
      </c>
      <c r="H12" s="142">
        <f>H6-SUM(H7:H11)</f>
        <v>0</v>
      </c>
      <c r="I12" s="144">
        <f t="shared" si="0"/>
        <v>0</v>
      </c>
      <c r="K12" s="135" t="s">
        <v>66</v>
      </c>
      <c r="L12" s="135">
        <v>51722</v>
      </c>
    </row>
    <row r="13" spans="1:12" ht="19.5" thickBot="1" x14ac:dyDescent="0.45">
      <c r="E13" s="145"/>
      <c r="F13" s="146">
        <f>SUM(F7:F12)</f>
        <v>21</v>
      </c>
      <c r="G13" s="147">
        <f>ROUNDDOWN((SUM(G5:G12)),0)</f>
        <v>2465</v>
      </c>
      <c r="H13" s="146">
        <f>ROUNDDOWN((SUM(H7:H12)),0)</f>
        <v>20</v>
      </c>
      <c r="I13" s="148">
        <f>SUM(I5:I12)</f>
        <v>2308.9354838709678</v>
      </c>
    </row>
    <row r="14" spans="1:12" ht="19.5" thickBot="1" x14ac:dyDescent="0.45">
      <c r="E14" s="149"/>
      <c r="F14" s="149"/>
      <c r="G14" s="150" t="s">
        <v>6</v>
      </c>
      <c r="H14" s="151">
        <f>F13+H13</f>
        <v>41</v>
      </c>
      <c r="I14" s="148">
        <f>ROUNDDOWN((SUM(G13,I13)),0)</f>
        <v>4773</v>
      </c>
    </row>
    <row r="15" spans="1:12" x14ac:dyDescent="0.4">
      <c r="E15" s="149"/>
      <c r="F15" s="149"/>
      <c r="G15" s="152"/>
      <c r="H15" s="153"/>
      <c r="I15" s="154"/>
    </row>
    <row r="16" spans="1:12" ht="19.5" thickBot="1" x14ac:dyDescent="0.45">
      <c r="E16" s="149"/>
      <c r="F16" s="149"/>
      <c r="G16" s="152"/>
      <c r="H16" s="153"/>
      <c r="I16" s="154"/>
    </row>
    <row r="17" spans="1:19" ht="24.75" thickBot="1" x14ac:dyDescent="0.45">
      <c r="A17" s="119" t="s">
        <v>51</v>
      </c>
      <c r="B17" s="118" t="s">
        <v>70</v>
      </c>
      <c r="C17" s="120">
        <f>C2</f>
        <v>45050</v>
      </c>
      <c r="D17" s="118" t="s">
        <v>71</v>
      </c>
      <c r="E17" s="120">
        <f>E2</f>
        <v>45087</v>
      </c>
      <c r="F17" s="118">
        <f>E17-C17+1</f>
        <v>38</v>
      </c>
      <c r="G17" s="118" t="s">
        <v>73</v>
      </c>
    </row>
    <row r="18" spans="1:19" ht="20.25" thickBot="1" x14ac:dyDescent="0.45">
      <c r="A18" s="162" t="s">
        <v>33</v>
      </c>
      <c r="B18" s="162"/>
      <c r="C18" s="162"/>
      <c r="O18" s="149"/>
      <c r="P18" s="149"/>
      <c r="Q18" s="152"/>
      <c r="R18" s="153"/>
      <c r="S18" s="154"/>
    </row>
    <row r="19" spans="1:19" ht="20.25" thickBot="1" x14ac:dyDescent="0.45">
      <c r="A19" s="226" t="s">
        <v>34</v>
      </c>
      <c r="B19" s="227"/>
      <c r="C19" s="228"/>
      <c r="D19" s="163" t="s">
        <v>35</v>
      </c>
      <c r="E19" s="121" t="s">
        <v>5</v>
      </c>
      <c r="F19" s="122" t="s">
        <v>46</v>
      </c>
      <c r="G19" s="123">
        <v>1017.5</v>
      </c>
      <c r="H19" s="124" t="s">
        <v>47</v>
      </c>
      <c r="I19" s="125">
        <v>1017.5</v>
      </c>
    </row>
    <row r="20" spans="1:19" ht="41.25" customHeight="1" thickTop="1" thickBot="1" x14ac:dyDescent="0.45">
      <c r="A20" s="164"/>
      <c r="B20" s="126"/>
      <c r="C20" s="165" t="s">
        <v>48</v>
      </c>
      <c r="D20" s="127" t="s">
        <v>49</v>
      </c>
      <c r="E20" s="128">
        <f>E5</f>
        <v>38</v>
      </c>
      <c r="F20" s="129">
        <f>IF(E20&lt;=31,E20,(ROUNDUP((E20/2),0)))</f>
        <v>19</v>
      </c>
      <c r="G20" s="130">
        <f>G19*(F20/31)</f>
        <v>623.62903225806451</v>
      </c>
      <c r="H20" s="131">
        <f>E20-F20</f>
        <v>19</v>
      </c>
      <c r="I20" s="132">
        <f>I19*(H20/31)</f>
        <v>623.62903225806451</v>
      </c>
    </row>
    <row r="21" spans="1:19" ht="21" thickTop="1" thickBot="1" x14ac:dyDescent="0.45">
      <c r="A21" s="166"/>
      <c r="B21" s="167"/>
      <c r="C21" s="168"/>
      <c r="D21" s="169"/>
      <c r="E21" s="133">
        <v>41</v>
      </c>
      <c r="F21" s="133">
        <f>IF(E20&lt;=31,E21,(ROUNDUP((E21/2),0)))</f>
        <v>21</v>
      </c>
      <c r="G21" s="133"/>
      <c r="H21" s="133">
        <f>E21-F21</f>
        <v>20</v>
      </c>
      <c r="I21" s="134"/>
    </row>
    <row r="22" spans="1:19" ht="20.25" thickTop="1" x14ac:dyDescent="0.4">
      <c r="A22" s="224" t="s">
        <v>38</v>
      </c>
      <c r="B22" s="225"/>
      <c r="C22" s="225"/>
      <c r="D22" s="170">
        <v>38.5</v>
      </c>
      <c r="E22" s="136"/>
      <c r="F22" s="136">
        <f>IF(F21&gt;=10,10,F21)</f>
        <v>10</v>
      </c>
      <c r="G22" s="137">
        <f>F22*D22</f>
        <v>385</v>
      </c>
      <c r="H22" s="136">
        <f>IF(H21&gt;=10,10,H21)</f>
        <v>10</v>
      </c>
      <c r="I22" s="138">
        <f t="shared" ref="I22:I30" si="2">H22*D22</f>
        <v>385</v>
      </c>
    </row>
    <row r="23" spans="1:19" ht="19.5" x14ac:dyDescent="0.4">
      <c r="A23" s="217" t="s">
        <v>39</v>
      </c>
      <c r="B23" s="218"/>
      <c r="C23" s="218"/>
      <c r="D23" s="171">
        <v>137.5</v>
      </c>
      <c r="E23" s="139"/>
      <c r="F23" s="139">
        <f>IF((F21-F22)&gt;=10,10,(F21-F22))</f>
        <v>10</v>
      </c>
      <c r="G23" s="140">
        <f t="shared" ref="G23:G30" si="3">F23*D23</f>
        <v>1375</v>
      </c>
      <c r="H23" s="139">
        <f>IF((H21-H22)&gt;=10,10,(H21-H22))</f>
        <v>10</v>
      </c>
      <c r="I23" s="141">
        <f t="shared" si="2"/>
        <v>1375</v>
      </c>
    </row>
    <row r="24" spans="1:19" ht="19.5" x14ac:dyDescent="0.4">
      <c r="A24" s="217" t="s">
        <v>52</v>
      </c>
      <c r="B24" s="218"/>
      <c r="C24" s="218"/>
      <c r="D24" s="171">
        <v>159.5</v>
      </c>
      <c r="E24" s="139"/>
      <c r="F24" s="139">
        <f>IF((F21-F22-F23)&gt;=10,10,(F21-F22-F23))</f>
        <v>1</v>
      </c>
      <c r="G24" s="140">
        <f t="shared" ref="G24" si="4">F24*D24</f>
        <v>159.5</v>
      </c>
      <c r="H24" s="139">
        <f>IF((H21-H22-H23)&gt;=30,30,(H21-H22-H23))</f>
        <v>0</v>
      </c>
      <c r="I24" s="141">
        <f t="shared" ref="I24" si="5">H24*D24</f>
        <v>0</v>
      </c>
    </row>
    <row r="25" spans="1:19" ht="19.5" x14ac:dyDescent="0.4">
      <c r="A25" s="217" t="s">
        <v>53</v>
      </c>
      <c r="B25" s="218"/>
      <c r="C25" s="218"/>
      <c r="D25" s="171">
        <v>176</v>
      </c>
      <c r="E25" s="139"/>
      <c r="F25" s="139">
        <f>IF((F21-F22-F23-F24)&gt;=20,20,(F21-F22-F23-F24))</f>
        <v>0</v>
      </c>
      <c r="G25" s="140">
        <f t="shared" si="3"/>
        <v>0</v>
      </c>
      <c r="H25" s="139">
        <f>IF((H21-H22-H23-H24)&gt;=50,50,(H21-H22-H23-H24))</f>
        <v>0</v>
      </c>
      <c r="I25" s="141">
        <f t="shared" si="2"/>
        <v>0</v>
      </c>
    </row>
    <row r="26" spans="1:19" ht="19.5" x14ac:dyDescent="0.4">
      <c r="A26" s="217" t="s">
        <v>41</v>
      </c>
      <c r="B26" s="218"/>
      <c r="C26" s="218"/>
      <c r="D26" s="171">
        <v>192.5</v>
      </c>
      <c r="E26" s="139"/>
      <c r="F26" s="139">
        <f>IF((F21-F22-F23-F24-F25)&gt;=50,50,(F21-F22-F23-F24-F25))</f>
        <v>0</v>
      </c>
      <c r="G26" s="140">
        <f t="shared" si="3"/>
        <v>0</v>
      </c>
      <c r="H26" s="139">
        <f>IF((H21-H22-H23-H24-H25)&gt;=100,100,(H21-H22-H23-H24-H25))</f>
        <v>0</v>
      </c>
      <c r="I26" s="141">
        <f t="shared" si="2"/>
        <v>0</v>
      </c>
    </row>
    <row r="27" spans="1:19" ht="19.5" x14ac:dyDescent="0.4">
      <c r="A27" s="217" t="s">
        <v>54</v>
      </c>
      <c r="B27" s="218"/>
      <c r="C27" s="218"/>
      <c r="D27" s="171">
        <v>209</v>
      </c>
      <c r="E27" s="139"/>
      <c r="F27" s="139">
        <f>IF((F21-F22-F23-F24-F25-F26)&gt;=100,100,(F21-F22-F23-F24-F25-F26))</f>
        <v>0</v>
      </c>
      <c r="G27" s="140">
        <f t="shared" si="3"/>
        <v>0</v>
      </c>
      <c r="H27" s="139">
        <f>IF((H21-H22-H23-H24-H25-H26)&gt;=200,200,(H21-H22-H23-H24-H25-H26))</f>
        <v>0</v>
      </c>
      <c r="I27" s="141">
        <f t="shared" si="2"/>
        <v>0</v>
      </c>
    </row>
    <row r="28" spans="1:19" ht="19.5" x14ac:dyDescent="0.4">
      <c r="A28" s="217" t="s">
        <v>55</v>
      </c>
      <c r="B28" s="218"/>
      <c r="C28" s="218"/>
      <c r="D28" s="171">
        <v>220</v>
      </c>
      <c r="E28" s="139"/>
      <c r="F28" s="139">
        <f>IF((F21-F22-F23-F24-F25-F26-F27)&gt;=300,300,(F21-F22-F23-F24-F25-F26-F27))</f>
        <v>0</v>
      </c>
      <c r="G28" s="140">
        <f t="shared" ref="G28" si="6">F28*D28</f>
        <v>0</v>
      </c>
      <c r="H28" s="139">
        <f>IF((H21-H22-H23-H24-H25-H26-H27)&gt;=500,500,(H21-H22-H23-H24-H25-H26-H27))</f>
        <v>0</v>
      </c>
      <c r="I28" s="141">
        <f t="shared" ref="I28" si="7">H28*D28</f>
        <v>0</v>
      </c>
    </row>
    <row r="29" spans="1:19" ht="19.5" x14ac:dyDescent="0.4">
      <c r="A29" s="217" t="s">
        <v>56</v>
      </c>
      <c r="B29" s="218"/>
      <c r="C29" s="218"/>
      <c r="D29" s="171">
        <v>231</v>
      </c>
      <c r="E29" s="139"/>
      <c r="F29" s="139">
        <f>IF((F21-F22-F23-F24-F25-F26-F27-F28)&gt;=500,500,(F21-F22-F23-F24-F25-F26-F27-F28))</f>
        <v>0</v>
      </c>
      <c r="G29" s="140">
        <f t="shared" ref="G29" si="8">F29*D29</f>
        <v>0</v>
      </c>
      <c r="H29" s="139">
        <f>IF((H21-H22-H23-H24-H25-H26-H27-H28)&gt;=1000,1000,(H21-H22-H23-H24-H25-H26-H27-H28))</f>
        <v>0</v>
      </c>
      <c r="I29" s="141">
        <f t="shared" ref="I29" si="9">H29*D29</f>
        <v>0</v>
      </c>
    </row>
    <row r="30" spans="1:19" ht="20.25" thickBot="1" x14ac:dyDescent="0.45">
      <c r="A30" s="219" t="s">
        <v>57</v>
      </c>
      <c r="B30" s="220"/>
      <c r="C30" s="220"/>
      <c r="D30" s="172">
        <v>242</v>
      </c>
      <c r="E30" s="142"/>
      <c r="F30" s="142">
        <f>F21-SUM(F22:F29)</f>
        <v>0</v>
      </c>
      <c r="G30" s="143">
        <f t="shared" si="3"/>
        <v>0</v>
      </c>
      <c r="H30" s="142">
        <f>H21-SUM(H22:H29)</f>
        <v>0</v>
      </c>
      <c r="I30" s="144">
        <f t="shared" si="2"/>
        <v>0</v>
      </c>
    </row>
    <row r="31" spans="1:19" ht="19.5" thickBot="1" x14ac:dyDescent="0.45">
      <c r="E31" s="145"/>
      <c r="F31" s="146">
        <f>SUM(F22:F30)</f>
        <v>21</v>
      </c>
      <c r="G31" s="147">
        <f>SUM(G20:G30)</f>
        <v>2543.1290322580644</v>
      </c>
      <c r="H31" s="146">
        <f>SUM(H22:H30)</f>
        <v>20</v>
      </c>
      <c r="I31" s="148">
        <f>SUM(I20:I30)</f>
        <v>2383.6290322580644</v>
      </c>
    </row>
    <row r="32" spans="1:19" ht="19.5" thickBot="1" x14ac:dyDescent="0.45">
      <c r="E32" s="149"/>
      <c r="F32" s="149"/>
      <c r="G32" s="150" t="s">
        <v>6</v>
      </c>
      <c r="H32" s="151">
        <f>F31+H31</f>
        <v>41</v>
      </c>
      <c r="I32" s="148">
        <f>ROUNDDOWN((SUM(G31,I31)),0)</f>
        <v>4926</v>
      </c>
    </row>
    <row r="33" spans="1:9" x14ac:dyDescent="0.4">
      <c r="E33" s="149"/>
      <c r="F33" s="149"/>
      <c r="G33" s="152"/>
      <c r="H33" s="153"/>
      <c r="I33" s="154"/>
    </row>
    <row r="34" spans="1:9" x14ac:dyDescent="0.4">
      <c r="E34" s="149"/>
      <c r="F34" s="149"/>
      <c r="G34" s="152"/>
      <c r="H34" s="153"/>
      <c r="I34" s="154"/>
    </row>
    <row r="35" spans="1:9" ht="20.25" thickBot="1" x14ac:dyDescent="0.45">
      <c r="A35" s="162" t="s">
        <v>33</v>
      </c>
      <c r="B35" s="162"/>
      <c r="C35" s="162"/>
      <c r="D35" s="118" t="s">
        <v>77</v>
      </c>
    </row>
    <row r="36" spans="1:9" ht="38.25" thickBot="1" x14ac:dyDescent="0.45">
      <c r="A36" s="221" t="s">
        <v>34</v>
      </c>
      <c r="B36" s="222"/>
      <c r="C36" s="223"/>
      <c r="D36" s="173" t="s">
        <v>35</v>
      </c>
      <c r="E36" s="155" t="s">
        <v>5</v>
      </c>
      <c r="F36" s="156" t="s">
        <v>44</v>
      </c>
      <c r="G36" s="157">
        <v>1100</v>
      </c>
      <c r="H36" s="156" t="s">
        <v>45</v>
      </c>
      <c r="I36" s="158">
        <v>1100</v>
      </c>
    </row>
    <row r="37" spans="1:9" ht="21" thickTop="1" thickBot="1" x14ac:dyDescent="0.45">
      <c r="A37" s="174"/>
      <c r="B37" s="175"/>
      <c r="C37" s="176"/>
      <c r="D37" s="165"/>
      <c r="E37" s="159">
        <v>90</v>
      </c>
      <c r="F37" s="159">
        <f>ROUNDUP((E37/2),0)</f>
        <v>45</v>
      </c>
      <c r="G37" s="130"/>
      <c r="H37" s="159">
        <f>E37-F37</f>
        <v>45</v>
      </c>
      <c r="I37" s="132"/>
    </row>
    <row r="38" spans="1:9" ht="20.25" thickTop="1" x14ac:dyDescent="0.4">
      <c r="A38" s="224" t="s">
        <v>38</v>
      </c>
      <c r="B38" s="225"/>
      <c r="C38" s="225"/>
      <c r="D38" s="170">
        <v>66</v>
      </c>
      <c r="E38" s="136"/>
      <c r="F38" s="136">
        <f>IF(F37&gt;=10,10,F37)</f>
        <v>10</v>
      </c>
      <c r="G38" s="137">
        <f>F38*D38</f>
        <v>660</v>
      </c>
      <c r="H38" s="136">
        <f>IF(H37&gt;=10,10,H37)</f>
        <v>10</v>
      </c>
      <c r="I38" s="138">
        <f t="shared" ref="I38:I43" si="10">H38*D38</f>
        <v>660</v>
      </c>
    </row>
    <row r="39" spans="1:9" ht="19.5" x14ac:dyDescent="0.4">
      <c r="A39" s="217" t="s">
        <v>39</v>
      </c>
      <c r="B39" s="218"/>
      <c r="C39" s="218"/>
      <c r="D39" s="171">
        <v>117.7</v>
      </c>
      <c r="E39" s="139"/>
      <c r="F39" s="139">
        <f>IF((F37-F38)&gt;=10,10,(F37-F38))</f>
        <v>10</v>
      </c>
      <c r="G39" s="140">
        <f t="shared" ref="G39:G43" si="11">F39*D39</f>
        <v>1177</v>
      </c>
      <c r="H39" s="139">
        <f>IF((H37-H38)&gt;=10,10,(H37-H38))</f>
        <v>10</v>
      </c>
      <c r="I39" s="141">
        <f t="shared" si="10"/>
        <v>1177</v>
      </c>
    </row>
    <row r="40" spans="1:9" ht="19.5" x14ac:dyDescent="0.4">
      <c r="A40" s="217" t="s">
        <v>40</v>
      </c>
      <c r="B40" s="218"/>
      <c r="C40" s="218"/>
      <c r="D40" s="171">
        <v>156.19999999999999</v>
      </c>
      <c r="E40" s="139"/>
      <c r="F40" s="139">
        <f>IF((F37-F38-F39)&gt;=30,30,(F37-F38-F39))</f>
        <v>25</v>
      </c>
      <c r="G40" s="140">
        <f t="shared" si="11"/>
        <v>3904.9999999999995</v>
      </c>
      <c r="H40" s="139">
        <f>IF((H37-H38-H39)&gt;=30,30,(H37-H38-H39))</f>
        <v>25</v>
      </c>
      <c r="I40" s="141">
        <f t="shared" si="10"/>
        <v>3904.9999999999995</v>
      </c>
    </row>
    <row r="41" spans="1:9" ht="19.5" x14ac:dyDescent="0.4">
      <c r="A41" s="217" t="s">
        <v>41</v>
      </c>
      <c r="B41" s="218"/>
      <c r="C41" s="218"/>
      <c r="D41" s="171">
        <v>181.5</v>
      </c>
      <c r="E41" s="139"/>
      <c r="F41" s="139">
        <f>IF((F37-F38-F39-F40)&gt;=50,50,(F37-F38-F39-F40))</f>
        <v>0</v>
      </c>
      <c r="G41" s="140">
        <f t="shared" si="11"/>
        <v>0</v>
      </c>
      <c r="H41" s="139">
        <f>IF((H37-H38-H39-H40)&gt;=50,50,(H37-H38-H39-H40))</f>
        <v>0</v>
      </c>
      <c r="I41" s="141">
        <f t="shared" si="10"/>
        <v>0</v>
      </c>
    </row>
    <row r="42" spans="1:9" ht="19.5" x14ac:dyDescent="0.4">
      <c r="A42" s="217" t="s">
        <v>42</v>
      </c>
      <c r="B42" s="218"/>
      <c r="C42" s="218"/>
      <c r="D42" s="171">
        <v>201.3</v>
      </c>
      <c r="E42" s="139"/>
      <c r="F42" s="139">
        <f>IF((F37-F38-F39-F40-F41)&gt;=400,400,(F37-F38-F39-F40-F41))</f>
        <v>0</v>
      </c>
      <c r="G42" s="140">
        <f t="shared" si="11"/>
        <v>0</v>
      </c>
      <c r="H42" s="139">
        <f>IF((H37-H38-H39-H40-H41)&gt;=400,400,(H37-H38-H39-H40-H41))</f>
        <v>0</v>
      </c>
      <c r="I42" s="141">
        <f t="shared" si="10"/>
        <v>0</v>
      </c>
    </row>
    <row r="43" spans="1:9" ht="20.25" thickBot="1" x14ac:dyDescent="0.45">
      <c r="A43" s="219" t="s">
        <v>43</v>
      </c>
      <c r="B43" s="220"/>
      <c r="C43" s="220"/>
      <c r="D43" s="172">
        <v>214.5</v>
      </c>
      <c r="E43" s="142"/>
      <c r="F43" s="142">
        <f>F37-SUM(F38:F42)</f>
        <v>0</v>
      </c>
      <c r="G43" s="143">
        <f t="shared" si="11"/>
        <v>0</v>
      </c>
      <c r="H43" s="142">
        <f>H37-SUM(H38:H42)</f>
        <v>0</v>
      </c>
      <c r="I43" s="144">
        <f t="shared" si="10"/>
        <v>0</v>
      </c>
    </row>
    <row r="44" spans="1:9" ht="19.5" thickBot="1" x14ac:dyDescent="0.45">
      <c r="A44" s="160"/>
      <c r="B44" s="160"/>
      <c r="C44" s="160"/>
      <c r="D44" s="161"/>
      <c r="E44" s="145"/>
      <c r="F44" s="146">
        <f>SUM(F38:F43)</f>
        <v>45</v>
      </c>
      <c r="G44" s="147">
        <f>ROUNDDOWN((SUM(G36:G43)),-1)</f>
        <v>6840</v>
      </c>
      <c r="H44" s="146">
        <f>SUM(H38:H43)</f>
        <v>45</v>
      </c>
      <c r="I44" s="148">
        <f>SUM(I36:I43)</f>
        <v>6842</v>
      </c>
    </row>
    <row r="45" spans="1:9" ht="19.5" thickBot="1" x14ac:dyDescent="0.45">
      <c r="G45" s="150" t="s">
        <v>6</v>
      </c>
      <c r="H45" s="151">
        <f>F44+H44</f>
        <v>90</v>
      </c>
      <c r="I45" s="148">
        <f>ROUNDDOWN((SUM(G44,I44)),0)</f>
        <v>13682</v>
      </c>
    </row>
  </sheetData>
  <mergeCells count="24">
    <mergeCell ref="A11:C11"/>
    <mergeCell ref="A4:C4"/>
    <mergeCell ref="A7:C7"/>
    <mergeCell ref="A8:C8"/>
    <mergeCell ref="A9:C9"/>
    <mergeCell ref="A10:C10"/>
    <mergeCell ref="A12:C12"/>
    <mergeCell ref="A36:C36"/>
    <mergeCell ref="A38:C38"/>
    <mergeCell ref="A39:C39"/>
    <mergeCell ref="A40:C40"/>
    <mergeCell ref="A19:C19"/>
    <mergeCell ref="A22:C22"/>
    <mergeCell ref="A23:C23"/>
    <mergeCell ref="A25:C25"/>
    <mergeCell ref="A26:C26"/>
    <mergeCell ref="A24:C24"/>
    <mergeCell ref="A28:C28"/>
    <mergeCell ref="A29:C29"/>
    <mergeCell ref="A42:C42"/>
    <mergeCell ref="A43:C43"/>
    <mergeCell ref="A27:C27"/>
    <mergeCell ref="A30:C30"/>
    <mergeCell ref="A41:C41"/>
  </mergeCells>
  <phoneticPr fontId="2"/>
  <dataValidations count="2">
    <dataValidation type="list" allowBlank="1" showInputMessage="1" showErrorMessage="1" sqref="G4 I4">
      <formula1>$L$6:$L$12</formula1>
    </dataValidation>
    <dataValidation type="list" allowBlank="1" showInputMessage="1" showErrorMessage="1" sqref="E3">
      <formula1>$K$6:$K$12</formula1>
    </dataValidation>
  </dataValidations>
  <pageMargins left="0.7" right="0.7" top="0.75" bottom="0.75" header="0.3" footer="0.3"/>
  <pageSetup paperSize="9" scale="81" orientation="portrait" r:id="rId1"/>
  <rowBreaks count="1" manualBreakCount="1">
    <brk id="33" max="16383" man="1"/>
  </rowBreaks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3:T24"/>
  <sheetViews>
    <sheetView workbookViewId="0">
      <selection activeCell="I16" sqref="I16"/>
    </sheetView>
  </sheetViews>
  <sheetFormatPr defaultRowHeight="18.75" x14ac:dyDescent="0.4"/>
  <cols>
    <col min="8" max="8" width="10.375" bestFit="1" customWidth="1"/>
    <col min="10" max="10" width="11.5" bestFit="1" customWidth="1"/>
    <col min="18" max="18" width="10.375" bestFit="1" customWidth="1"/>
    <col min="20" max="20" width="12.625" bestFit="1" customWidth="1"/>
  </cols>
  <sheetData>
    <row r="3" spans="2:20" ht="19.5" thickBot="1" x14ac:dyDescent="0.45">
      <c r="B3" s="50" t="s">
        <v>33</v>
      </c>
      <c r="C3" s="50"/>
      <c r="D3" s="50"/>
      <c r="E3" t="s">
        <v>89</v>
      </c>
    </row>
    <row r="4" spans="2:20" ht="38.25" thickBot="1" x14ac:dyDescent="0.45">
      <c r="B4" s="231" t="s">
        <v>34</v>
      </c>
      <c r="C4" s="232"/>
      <c r="D4" s="233"/>
      <c r="E4" s="51" t="s">
        <v>35</v>
      </c>
      <c r="F4" s="52" t="s">
        <v>5</v>
      </c>
      <c r="G4" s="53" t="s">
        <v>36</v>
      </c>
      <c r="H4" s="54">
        <v>770</v>
      </c>
      <c r="I4" s="55" t="s">
        <v>37</v>
      </c>
      <c r="J4" s="56">
        <v>770</v>
      </c>
      <c r="L4" s="231" t="s">
        <v>34</v>
      </c>
      <c r="M4" s="232"/>
      <c r="N4" s="233"/>
      <c r="O4" s="51" t="s">
        <v>35</v>
      </c>
      <c r="P4" s="52" t="s">
        <v>5</v>
      </c>
      <c r="Q4" s="53" t="s">
        <v>36</v>
      </c>
      <c r="R4" s="54">
        <v>0</v>
      </c>
      <c r="S4" s="55" t="s">
        <v>37</v>
      </c>
      <c r="T4" s="56">
        <v>0</v>
      </c>
    </row>
    <row r="5" spans="2:20" ht="20.25" thickTop="1" thickBot="1" x14ac:dyDescent="0.45">
      <c r="B5" s="57"/>
      <c r="C5" s="58"/>
      <c r="D5" s="59"/>
      <c r="E5" s="60"/>
      <c r="F5" s="61">
        <v>28</v>
      </c>
      <c r="G5" s="61">
        <f>ROUNDUP((F5/2),0)</f>
        <v>14</v>
      </c>
      <c r="H5" s="61"/>
      <c r="I5" s="61">
        <f>F5-G5</f>
        <v>14</v>
      </c>
      <c r="J5" s="62"/>
      <c r="L5" s="57"/>
      <c r="M5" s="58"/>
      <c r="N5" s="59"/>
      <c r="O5" s="60"/>
      <c r="P5" s="61">
        <v>27</v>
      </c>
      <c r="Q5" s="61">
        <f>ROUNDUP((P5/2),0)</f>
        <v>14</v>
      </c>
      <c r="R5" s="61"/>
      <c r="S5" s="61">
        <f>P5-Q5</f>
        <v>13</v>
      </c>
      <c r="T5" s="62"/>
    </row>
    <row r="6" spans="2:20" ht="19.5" thickTop="1" x14ac:dyDescent="0.4">
      <c r="B6" s="234" t="s">
        <v>38</v>
      </c>
      <c r="C6" s="235"/>
      <c r="D6" s="235"/>
      <c r="E6" s="63">
        <v>66</v>
      </c>
      <c r="F6" s="64"/>
      <c r="G6" s="64">
        <f>IF(G5&gt;=10,10,G5)</f>
        <v>10</v>
      </c>
      <c r="H6" s="65">
        <f>G6*E6</f>
        <v>660</v>
      </c>
      <c r="I6" s="64">
        <f>IF(I5&gt;=10,10,I5)</f>
        <v>10</v>
      </c>
      <c r="J6" s="66">
        <f t="shared" ref="J6:J11" si="0">I6*E6</f>
        <v>660</v>
      </c>
      <c r="L6" s="234" t="s">
        <v>38</v>
      </c>
      <c r="M6" s="235"/>
      <c r="N6" s="235"/>
      <c r="O6" s="63">
        <v>38.5</v>
      </c>
      <c r="P6" s="64"/>
      <c r="Q6" s="64">
        <f>IF(Q5&gt;=10,10,Q5)</f>
        <v>10</v>
      </c>
      <c r="R6" s="65">
        <f>Q6*O6</f>
        <v>385</v>
      </c>
      <c r="S6" s="64">
        <f>IF(S5&gt;=10,10,S5)</f>
        <v>10</v>
      </c>
      <c r="T6" s="66">
        <f t="shared" ref="T6:T14" si="1">S6*O6</f>
        <v>385</v>
      </c>
    </row>
    <row r="7" spans="2:20" x14ac:dyDescent="0.4">
      <c r="B7" s="229" t="s">
        <v>39</v>
      </c>
      <c r="C7" s="230"/>
      <c r="D7" s="230"/>
      <c r="E7" s="67">
        <v>117.7</v>
      </c>
      <c r="F7" s="68"/>
      <c r="G7" s="68">
        <f>IF((G5-G6)&gt;=10,10,(G5-G6))</f>
        <v>4</v>
      </c>
      <c r="H7" s="69">
        <f t="shared" ref="H7:H11" si="2">G7*E7</f>
        <v>470.8</v>
      </c>
      <c r="I7" s="68">
        <f>IF((I5-I6)&gt;=10,10,(I5-I6))</f>
        <v>4</v>
      </c>
      <c r="J7" s="70">
        <f t="shared" si="0"/>
        <v>470.8</v>
      </c>
      <c r="L7" s="229" t="s">
        <v>39</v>
      </c>
      <c r="M7" s="230"/>
      <c r="N7" s="230"/>
      <c r="O7" s="67">
        <v>137.5</v>
      </c>
      <c r="P7" s="68"/>
      <c r="Q7" s="68">
        <f>IF((Q5-Q6)&gt;=10,10,(Q5-Q6))</f>
        <v>4</v>
      </c>
      <c r="R7" s="69">
        <f t="shared" ref="R7:R14" si="3">Q7*O7</f>
        <v>550</v>
      </c>
      <c r="S7" s="68">
        <f>IF((S5-S6)&gt;=10,10,(S5-S6))</f>
        <v>3</v>
      </c>
      <c r="T7" s="70">
        <f t="shared" si="1"/>
        <v>412.5</v>
      </c>
    </row>
    <row r="8" spans="2:20" x14ac:dyDescent="0.4">
      <c r="B8" s="229" t="s">
        <v>40</v>
      </c>
      <c r="C8" s="230"/>
      <c r="D8" s="230"/>
      <c r="E8" s="67">
        <v>156.19999999999999</v>
      </c>
      <c r="F8" s="68"/>
      <c r="G8" s="68">
        <f>IF((G5-G6-G7)&gt;=30,30,(G5-G6-G7))</f>
        <v>0</v>
      </c>
      <c r="H8" s="69">
        <f t="shared" si="2"/>
        <v>0</v>
      </c>
      <c r="I8" s="68">
        <f>IF((I5-I6-I7)&gt;=30,30,(I5-I6-I7))</f>
        <v>0</v>
      </c>
      <c r="J8" s="70">
        <f t="shared" si="0"/>
        <v>0</v>
      </c>
      <c r="L8" s="229" t="s">
        <v>52</v>
      </c>
      <c r="M8" s="230"/>
      <c r="N8" s="230"/>
      <c r="O8" s="67">
        <v>159.5</v>
      </c>
      <c r="P8" s="68"/>
      <c r="Q8" s="68">
        <f>IF((Q5-Q6-Q7)&gt;=10,10,(Q5-Q6-Q7))</f>
        <v>0</v>
      </c>
      <c r="R8" s="69">
        <f t="shared" si="3"/>
        <v>0</v>
      </c>
      <c r="S8" s="68">
        <f>IF((S5-S6-S7)&gt;=10,10,(S5-S6-S7))</f>
        <v>0</v>
      </c>
      <c r="T8" s="70">
        <f t="shared" si="1"/>
        <v>0</v>
      </c>
    </row>
    <row r="9" spans="2:20" x14ac:dyDescent="0.4">
      <c r="B9" s="229" t="s">
        <v>41</v>
      </c>
      <c r="C9" s="230"/>
      <c r="D9" s="230"/>
      <c r="E9" s="67">
        <v>181.5</v>
      </c>
      <c r="F9" s="68"/>
      <c r="G9" s="68">
        <f>IF((G5-G6-G7-G8)&gt;=50,50,(G5-G6-G7-G8))</f>
        <v>0</v>
      </c>
      <c r="H9" s="69">
        <f t="shared" si="2"/>
        <v>0</v>
      </c>
      <c r="I9" s="68">
        <f>IF((I5-I6-I7-I8)&gt;=50,50,(I5-I6-I7-I8))</f>
        <v>0</v>
      </c>
      <c r="J9" s="70">
        <f t="shared" si="0"/>
        <v>0</v>
      </c>
      <c r="L9" s="229" t="s">
        <v>53</v>
      </c>
      <c r="M9" s="230"/>
      <c r="N9" s="230"/>
      <c r="O9" s="67">
        <v>176</v>
      </c>
      <c r="P9" s="68"/>
      <c r="Q9" s="68">
        <f>IF((Q5-Q6-Q7-Q8)&gt;=20,20,(Q5-Q6-Q7-Q8))</f>
        <v>0</v>
      </c>
      <c r="R9" s="69">
        <f t="shared" si="3"/>
        <v>0</v>
      </c>
      <c r="S9" s="68">
        <f>IF((S5-S6-S7-S8)&gt;=20,20,(S5-S6-S7-S8))</f>
        <v>0</v>
      </c>
      <c r="T9" s="70">
        <f t="shared" si="1"/>
        <v>0</v>
      </c>
    </row>
    <row r="10" spans="2:20" x14ac:dyDescent="0.4">
      <c r="B10" s="229" t="s">
        <v>42</v>
      </c>
      <c r="C10" s="230"/>
      <c r="D10" s="230"/>
      <c r="E10" s="67">
        <v>201.3</v>
      </c>
      <c r="F10" s="68"/>
      <c r="G10" s="68">
        <f>IF((G5-G6-G7-G8-G9)&gt;=400,400,(G5-G6-G7-G8-G9))</f>
        <v>0</v>
      </c>
      <c r="H10" s="69">
        <f t="shared" si="2"/>
        <v>0</v>
      </c>
      <c r="I10" s="68">
        <f>IF((I5-I6-I7-I8-I9)&gt;=400,400,(I5-I6-I7-I8-I9))</f>
        <v>0</v>
      </c>
      <c r="J10" s="70">
        <f t="shared" si="0"/>
        <v>0</v>
      </c>
      <c r="L10" s="229" t="s">
        <v>41</v>
      </c>
      <c r="M10" s="230"/>
      <c r="N10" s="230"/>
      <c r="O10" s="67">
        <v>192.5</v>
      </c>
      <c r="P10" s="68"/>
      <c r="Q10" s="68">
        <f>IF((Q5-Q6-Q7-Q8-Q9)&gt;=50,50,(Q5-Q6-Q7-Q8-Q9))</f>
        <v>0</v>
      </c>
      <c r="R10" s="69">
        <f t="shared" si="3"/>
        <v>0</v>
      </c>
      <c r="S10" s="68">
        <f>IF((S5-S6-S7-S8-S9)&gt;=50,50,(S5-S6-S7-S8-S9))</f>
        <v>0</v>
      </c>
      <c r="T10" s="70">
        <f t="shared" si="1"/>
        <v>0</v>
      </c>
    </row>
    <row r="11" spans="2:20" ht="19.5" thickBot="1" x14ac:dyDescent="0.45">
      <c r="B11" s="236" t="s">
        <v>43</v>
      </c>
      <c r="C11" s="237"/>
      <c r="D11" s="237"/>
      <c r="E11" s="71">
        <v>214.5</v>
      </c>
      <c r="F11" s="72"/>
      <c r="G11" s="72">
        <f>G5-SUM(G6:G10)</f>
        <v>0</v>
      </c>
      <c r="H11" s="73">
        <f t="shared" si="2"/>
        <v>0</v>
      </c>
      <c r="I11" s="72">
        <f>I5-SUM(I6:I10)</f>
        <v>0</v>
      </c>
      <c r="J11" s="74">
        <f t="shared" si="0"/>
        <v>0</v>
      </c>
      <c r="L11" s="229" t="s">
        <v>54</v>
      </c>
      <c r="M11" s="230"/>
      <c r="N11" s="230"/>
      <c r="O11" s="67">
        <v>209</v>
      </c>
      <c r="P11" s="68"/>
      <c r="Q11" s="68">
        <f>IF((Q5-Q6-Q7-Q8-Q9-Q10)&gt;=100,100,(Q5-Q6-Q7-Q8-Q9-Q10))</f>
        <v>0</v>
      </c>
      <c r="R11" s="69">
        <f t="shared" si="3"/>
        <v>0</v>
      </c>
      <c r="S11" s="68">
        <f>IF((S5-S6-S7-S8-S9-S10)&gt;=100,100,(S5-S6-S7-S8-S9-S10))</f>
        <v>0</v>
      </c>
      <c r="T11" s="70">
        <f t="shared" si="1"/>
        <v>0</v>
      </c>
    </row>
    <row r="12" spans="2:20" ht="19.5" thickBot="1" x14ac:dyDescent="0.45">
      <c r="F12" s="75"/>
      <c r="G12" s="76">
        <f>SUM(G6:G11)</f>
        <v>14</v>
      </c>
      <c r="H12" s="77">
        <f>ROUNDDOWN((SUM(H4:H11)),0)</f>
        <v>1900</v>
      </c>
      <c r="I12" s="76">
        <f>SUM(I6:I11)</f>
        <v>14</v>
      </c>
      <c r="J12" s="78">
        <f>ROUNDDOWN((SUM(J4:J11)),0)</f>
        <v>1900</v>
      </c>
      <c r="L12" s="229" t="s">
        <v>55</v>
      </c>
      <c r="M12" s="230"/>
      <c r="N12" s="230"/>
      <c r="O12" s="67">
        <v>220</v>
      </c>
      <c r="P12" s="68"/>
      <c r="Q12" s="68">
        <f>IF((Q5-Q6-Q7-Q8-Q9-Q10-Q11)&gt;=300,300,(Q5-Q6-Q7-Q8-Q9-Q10-Q11))</f>
        <v>0</v>
      </c>
      <c r="R12" s="69">
        <f t="shared" ref="R12" si="4">Q12*O12</f>
        <v>0</v>
      </c>
      <c r="S12" s="68">
        <f>IF((S5-S6-S7-S8-S9-S10-S11)&gt;=300,300,(S5-S6-S7-S8-S9-S10-S11))</f>
        <v>0</v>
      </c>
      <c r="T12" s="70">
        <f t="shared" ref="T12" si="5">S12*O12</f>
        <v>0</v>
      </c>
    </row>
    <row r="13" spans="2:20" ht="19.5" thickBot="1" x14ac:dyDescent="0.45">
      <c r="F13" s="7"/>
      <c r="G13" s="7"/>
      <c r="H13" s="79" t="s">
        <v>6</v>
      </c>
      <c r="I13" s="80">
        <f>G12+I12</f>
        <v>28</v>
      </c>
      <c r="J13" s="78">
        <f>ROUNDDOWN((SUM(H12,J12)),0)</f>
        <v>3800</v>
      </c>
      <c r="L13" s="93" t="s">
        <v>58</v>
      </c>
      <c r="M13" s="94"/>
      <c r="N13" s="94"/>
      <c r="O13" s="95">
        <v>231</v>
      </c>
      <c r="P13" s="96"/>
      <c r="Q13" s="96">
        <f>IF((Q5-Q6-Q7-Q8-Q9-Q10-Q11-Q12)&gt;=500,500,(Q5-Q6-Q7-Q8-Q9-Q10-Q11-Q12))</f>
        <v>0</v>
      </c>
      <c r="R13" s="97">
        <f t="shared" ref="R13" si="6">Q13*O13</f>
        <v>0</v>
      </c>
      <c r="S13" s="96">
        <f>IF((S5-S6-S7-S8-S9-S10-S11-S12)&gt;=500,500,(S5-S6-S7-S8-S9-S10-S11-S12))</f>
        <v>0</v>
      </c>
      <c r="T13" s="98">
        <f t="shared" ref="T13" si="7">S13*O13</f>
        <v>0</v>
      </c>
    </row>
    <row r="14" spans="2:20" ht="19.5" thickBot="1" x14ac:dyDescent="0.45">
      <c r="B14" s="50" t="s">
        <v>33</v>
      </c>
      <c r="C14" s="50"/>
      <c r="D14" s="50"/>
      <c r="E14" t="s">
        <v>77</v>
      </c>
      <c r="L14" s="236" t="s">
        <v>59</v>
      </c>
      <c r="M14" s="237"/>
      <c r="N14" s="237"/>
      <c r="O14" s="71">
        <v>242</v>
      </c>
      <c r="P14" s="72"/>
      <c r="Q14" s="72">
        <f>Q5-SUM(Q6:Q13)</f>
        <v>0</v>
      </c>
      <c r="R14" s="73">
        <f t="shared" si="3"/>
        <v>0</v>
      </c>
      <c r="S14" s="72">
        <f>S5-SUM(S6:S13)</f>
        <v>0</v>
      </c>
      <c r="T14" s="74">
        <f t="shared" si="1"/>
        <v>0</v>
      </c>
    </row>
    <row r="15" spans="2:20" ht="38.25" thickBot="1" x14ac:dyDescent="0.45">
      <c r="B15" s="238" t="s">
        <v>34</v>
      </c>
      <c r="C15" s="239"/>
      <c r="D15" s="240"/>
      <c r="E15" s="81" t="s">
        <v>35</v>
      </c>
      <c r="F15" s="82" t="s">
        <v>5</v>
      </c>
      <c r="G15" s="83" t="s">
        <v>44</v>
      </c>
      <c r="H15" s="84">
        <v>682</v>
      </c>
      <c r="I15" s="83" t="s">
        <v>45</v>
      </c>
      <c r="J15" s="85">
        <v>1100</v>
      </c>
      <c r="P15" s="75"/>
      <c r="Q15" s="76">
        <f>SUM(Q6:Q14)</f>
        <v>14</v>
      </c>
      <c r="R15" s="77">
        <f>SUM(R4:R14)</f>
        <v>935</v>
      </c>
      <c r="S15" s="76">
        <f>SUM(S6:S14)</f>
        <v>13</v>
      </c>
      <c r="T15" s="78">
        <f>SUM(T4:T14)</f>
        <v>797.5</v>
      </c>
    </row>
    <row r="16" spans="2:20" ht="20.25" thickTop="1" thickBot="1" x14ac:dyDescent="0.45">
      <c r="B16" s="86"/>
      <c r="C16" s="87"/>
      <c r="D16" s="88"/>
      <c r="E16" s="89"/>
      <c r="F16" s="90">
        <v>28</v>
      </c>
      <c r="G16" s="90">
        <f>ROUNDUP((F16/2),0)</f>
        <v>14</v>
      </c>
      <c r="H16" s="91"/>
      <c r="I16" s="90">
        <f>F16-G16</f>
        <v>14</v>
      </c>
      <c r="J16" s="92"/>
      <c r="P16" s="7"/>
      <c r="Q16" s="7"/>
      <c r="R16" s="79" t="s">
        <v>6</v>
      </c>
      <c r="S16" s="80">
        <f>Q15+S15</f>
        <v>27</v>
      </c>
      <c r="T16" s="78">
        <f>ROUNDDOWN((SUM(R15,T15)),-1)</f>
        <v>1730</v>
      </c>
    </row>
    <row r="17" spans="2:10" ht="19.5" thickTop="1" x14ac:dyDescent="0.4">
      <c r="B17" s="234" t="s">
        <v>38</v>
      </c>
      <c r="C17" s="235"/>
      <c r="D17" s="235"/>
      <c r="E17" s="63">
        <v>66</v>
      </c>
      <c r="F17" s="64"/>
      <c r="G17" s="64">
        <f>IF(G16&gt;=10,10,G16)</f>
        <v>10</v>
      </c>
      <c r="H17" s="65">
        <f>G17*E17</f>
        <v>660</v>
      </c>
      <c r="I17" s="64">
        <f>IF(I16&gt;=10,10,I16)</f>
        <v>10</v>
      </c>
      <c r="J17" s="66">
        <f t="shared" ref="J17:J22" si="8">I17*E17</f>
        <v>660</v>
      </c>
    </row>
    <row r="18" spans="2:10" x14ac:dyDescent="0.4">
      <c r="B18" s="229" t="s">
        <v>39</v>
      </c>
      <c r="C18" s="230"/>
      <c r="D18" s="230"/>
      <c r="E18" s="67">
        <v>117.7</v>
      </c>
      <c r="F18" s="68"/>
      <c r="G18" s="68">
        <f>IF((G16-G17)&gt;=10,10,(G16-G17))</f>
        <v>4</v>
      </c>
      <c r="H18" s="69">
        <f t="shared" ref="H18:H22" si="9">G18*E18</f>
        <v>470.8</v>
      </c>
      <c r="I18" s="68">
        <f>IF((I16-I17)&gt;=10,10,(I16-I17))</f>
        <v>4</v>
      </c>
      <c r="J18" s="70">
        <f t="shared" si="8"/>
        <v>470.8</v>
      </c>
    </row>
    <row r="19" spans="2:10" x14ac:dyDescent="0.4">
      <c r="B19" s="229" t="s">
        <v>40</v>
      </c>
      <c r="C19" s="230"/>
      <c r="D19" s="230"/>
      <c r="E19" s="67">
        <v>156.19999999999999</v>
      </c>
      <c r="F19" s="68"/>
      <c r="G19" s="68">
        <f>IF((G16-G17-G18)&gt;=30,30,(G16-G17-G18))</f>
        <v>0</v>
      </c>
      <c r="H19" s="69">
        <f t="shared" si="9"/>
        <v>0</v>
      </c>
      <c r="I19" s="68">
        <f>IF((I16-I17-I18)&gt;=30,30,(I16-I17-I18))</f>
        <v>0</v>
      </c>
      <c r="J19" s="70">
        <f t="shared" si="8"/>
        <v>0</v>
      </c>
    </row>
    <row r="20" spans="2:10" x14ac:dyDescent="0.4">
      <c r="B20" s="229" t="s">
        <v>41</v>
      </c>
      <c r="C20" s="230"/>
      <c r="D20" s="230"/>
      <c r="E20" s="67">
        <v>181.5</v>
      </c>
      <c r="F20" s="68"/>
      <c r="G20" s="68">
        <f>IF((G16-G17-G18-G19)&gt;=50,50,(G16-G17-G18-G19))</f>
        <v>0</v>
      </c>
      <c r="H20" s="69">
        <f t="shared" si="9"/>
        <v>0</v>
      </c>
      <c r="I20" s="68">
        <f>IF((I16-I17-I18-I19)&gt;=50,50,(I16-I17-I18-I19))</f>
        <v>0</v>
      </c>
      <c r="J20" s="70">
        <f t="shared" si="8"/>
        <v>0</v>
      </c>
    </row>
    <row r="21" spans="2:10" x14ac:dyDescent="0.4">
      <c r="B21" s="229" t="s">
        <v>42</v>
      </c>
      <c r="C21" s="230"/>
      <c r="D21" s="230"/>
      <c r="E21" s="67">
        <v>201.3</v>
      </c>
      <c r="F21" s="68"/>
      <c r="G21" s="68">
        <f>IF((G16-G17-G18-G19-G20)&gt;=400,400,(G16-G17-G18-G19-G20))</f>
        <v>0</v>
      </c>
      <c r="H21" s="69">
        <f t="shared" si="9"/>
        <v>0</v>
      </c>
      <c r="I21" s="68">
        <f>IF((I16-I17-I18-I19-I20)&gt;=400,400,(I16-I17-I18-I19-I20))</f>
        <v>0</v>
      </c>
      <c r="J21" s="70">
        <f t="shared" si="8"/>
        <v>0</v>
      </c>
    </row>
    <row r="22" spans="2:10" ht="19.5" thickBot="1" x14ac:dyDescent="0.45">
      <c r="B22" s="236" t="s">
        <v>43</v>
      </c>
      <c r="C22" s="237"/>
      <c r="D22" s="237"/>
      <c r="E22" s="71">
        <v>214.5</v>
      </c>
      <c r="F22" s="72"/>
      <c r="G22" s="72">
        <f>G16-SUM(G17:G21)</f>
        <v>0</v>
      </c>
      <c r="H22" s="73">
        <f t="shared" si="9"/>
        <v>0</v>
      </c>
      <c r="I22" s="72">
        <f>I16-SUM(I17:I21)</f>
        <v>0</v>
      </c>
      <c r="J22" s="74">
        <f t="shared" si="8"/>
        <v>0</v>
      </c>
    </row>
    <row r="23" spans="2:10" ht="19.5" thickBot="1" x14ac:dyDescent="0.45">
      <c r="B23" s="27"/>
      <c r="C23" s="27"/>
      <c r="D23" s="27"/>
      <c r="E23" s="28"/>
      <c r="F23" s="75"/>
      <c r="G23" s="76">
        <f>SUM(G17:G22)</f>
        <v>14</v>
      </c>
      <c r="H23" s="77">
        <f>ROUNDDOWN((SUM(H15:H22)),-1)</f>
        <v>1810</v>
      </c>
      <c r="I23" s="76">
        <f>SUM(I17:I22)</f>
        <v>14</v>
      </c>
      <c r="J23" s="78">
        <f>SUM(J15:J22)</f>
        <v>2230.8000000000002</v>
      </c>
    </row>
    <row r="24" spans="2:10" ht="19.5" thickBot="1" x14ac:dyDescent="0.45">
      <c r="H24" s="79" t="s">
        <v>6</v>
      </c>
      <c r="I24" s="80">
        <f>G23+I23</f>
        <v>28</v>
      </c>
      <c r="J24" s="78">
        <f>ROUNDDOWN((SUM(H23,J23)),0)</f>
        <v>4040</v>
      </c>
    </row>
  </sheetData>
  <mergeCells count="23">
    <mergeCell ref="L12:N12"/>
    <mergeCell ref="B21:D21"/>
    <mergeCell ref="B22:D22"/>
    <mergeCell ref="L4:N4"/>
    <mergeCell ref="L6:N6"/>
    <mergeCell ref="L7:N7"/>
    <mergeCell ref="L9:N9"/>
    <mergeCell ref="L10:N10"/>
    <mergeCell ref="L11:N11"/>
    <mergeCell ref="L14:N14"/>
    <mergeCell ref="L8:N8"/>
    <mergeCell ref="B11:D11"/>
    <mergeCell ref="B15:D15"/>
    <mergeCell ref="B17:D17"/>
    <mergeCell ref="B18:D18"/>
    <mergeCell ref="B19:D19"/>
    <mergeCell ref="B20:D20"/>
    <mergeCell ref="B4:D4"/>
    <mergeCell ref="B6:D6"/>
    <mergeCell ref="B7:D7"/>
    <mergeCell ref="B8:D8"/>
    <mergeCell ref="B9:D9"/>
    <mergeCell ref="B10:D10"/>
  </mergeCells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T30"/>
  <sheetViews>
    <sheetView topLeftCell="C1" zoomScaleNormal="100" workbookViewId="0">
      <pane ySplit="1" topLeftCell="A2" activePane="bottomLeft" state="frozen"/>
      <selection activeCell="I16" sqref="I16"/>
      <selection pane="bottomLeft" activeCell="I16" sqref="I16"/>
    </sheetView>
  </sheetViews>
  <sheetFormatPr defaultRowHeight="18.75" x14ac:dyDescent="0.4"/>
  <cols>
    <col min="1" max="1" width="11" bestFit="1" customWidth="1"/>
    <col min="3" max="5" width="10" bestFit="1" customWidth="1"/>
    <col min="7" max="9" width="11.125" bestFit="1" customWidth="1"/>
    <col min="11" max="11" width="10.625" customWidth="1"/>
    <col min="13" max="15" width="10" bestFit="1" customWidth="1"/>
    <col min="18" max="18" width="10" bestFit="1" customWidth="1"/>
    <col min="19" max="19" width="11.375" customWidth="1"/>
  </cols>
  <sheetData>
    <row r="1" spans="1:20" ht="19.5" thickBot="1" x14ac:dyDescent="0.45">
      <c r="A1" s="189" t="s">
        <v>27</v>
      </c>
      <c r="B1" s="189"/>
      <c r="C1" s="189"/>
      <c r="D1" s="189"/>
      <c r="E1" s="189"/>
      <c r="F1" s="189"/>
      <c r="G1" s="189"/>
      <c r="H1" s="189"/>
      <c r="I1" s="189"/>
      <c r="J1" s="189"/>
      <c r="K1" s="196" t="s">
        <v>28</v>
      </c>
      <c r="L1" s="197"/>
      <c r="M1" s="197"/>
      <c r="N1" s="197"/>
      <c r="O1" s="197"/>
      <c r="P1" s="197"/>
      <c r="Q1" s="197"/>
      <c r="R1" s="197"/>
      <c r="S1" s="197"/>
      <c r="T1" s="197"/>
    </row>
    <row r="2" spans="1:20" ht="19.5" thickBot="1" x14ac:dyDescent="0.45">
      <c r="A2" s="36" t="s">
        <v>0</v>
      </c>
      <c r="B2" s="27"/>
      <c r="C2" s="27"/>
      <c r="D2" s="27"/>
      <c r="E2" s="27"/>
      <c r="F2" s="27"/>
      <c r="G2" s="27"/>
      <c r="H2" s="27"/>
      <c r="I2" s="27"/>
      <c r="J2" s="28"/>
      <c r="K2" s="36" t="s">
        <v>78</v>
      </c>
      <c r="L2" s="27"/>
      <c r="M2" s="27"/>
      <c r="N2" s="27"/>
      <c r="O2" s="27"/>
      <c r="P2" s="27"/>
      <c r="Q2" s="27"/>
      <c r="R2" s="27"/>
      <c r="S2" s="27"/>
      <c r="T2" s="28"/>
    </row>
    <row r="3" spans="1:20" ht="19.5" thickBot="1" x14ac:dyDescent="0.45">
      <c r="A3" s="29" t="s">
        <v>13</v>
      </c>
      <c r="B3" s="48">
        <f>入力シート!C4</f>
        <v>20</v>
      </c>
      <c r="C3" s="7" t="s">
        <v>82</v>
      </c>
      <c r="D3" s="7"/>
      <c r="E3" s="7"/>
      <c r="F3" s="7"/>
      <c r="G3" s="7"/>
      <c r="H3" s="7"/>
      <c r="I3" s="7"/>
      <c r="J3" s="30"/>
      <c r="K3" s="29" t="s">
        <v>83</v>
      </c>
      <c r="L3" s="39" t="s">
        <v>12</v>
      </c>
      <c r="M3" s="48">
        <f>ROUNDUP(B18/2,0)</f>
        <v>20</v>
      </c>
      <c r="N3" s="7" t="s">
        <v>82</v>
      </c>
      <c r="O3" s="7"/>
      <c r="P3" s="7"/>
      <c r="Q3" s="7"/>
      <c r="R3" s="7"/>
      <c r="S3" s="7"/>
      <c r="T3" s="30"/>
    </row>
    <row r="4" spans="1:20" x14ac:dyDescent="0.4">
      <c r="A4" s="29"/>
      <c r="B4" s="47" t="s">
        <v>4</v>
      </c>
      <c r="C4" s="181"/>
      <c r="D4" s="3" t="s">
        <v>79</v>
      </c>
      <c r="E4" s="185" t="s">
        <v>30</v>
      </c>
      <c r="F4" s="11" t="s">
        <v>10</v>
      </c>
      <c r="G4" s="181" t="s">
        <v>1</v>
      </c>
      <c r="H4" s="49" t="s">
        <v>80</v>
      </c>
      <c r="I4" s="186" t="s">
        <v>32</v>
      </c>
      <c r="J4" s="30"/>
      <c r="L4" s="7"/>
      <c r="M4" s="47" t="s">
        <v>5</v>
      </c>
      <c r="N4" s="12" t="s">
        <v>19</v>
      </c>
      <c r="O4" s="13" t="s">
        <v>81</v>
      </c>
      <c r="P4" s="183" t="s">
        <v>30</v>
      </c>
      <c r="Q4" s="11" t="s">
        <v>5</v>
      </c>
      <c r="R4" s="181" t="s">
        <v>1</v>
      </c>
      <c r="S4" s="3" t="s">
        <v>31</v>
      </c>
      <c r="T4" s="30"/>
    </row>
    <row r="5" spans="1:20" x14ac:dyDescent="0.4">
      <c r="A5" s="29"/>
      <c r="B5" s="3">
        <v>13</v>
      </c>
      <c r="C5" s="177"/>
      <c r="D5" s="5">
        <v>770</v>
      </c>
      <c r="E5" s="180"/>
      <c r="F5" s="10">
        <f>IF(入力シート!$C$4=13,1,0)</f>
        <v>0</v>
      </c>
      <c r="G5" s="177">
        <f t="shared" ref="G5:G14" si="0">F5*C5</f>
        <v>0</v>
      </c>
      <c r="H5" s="5">
        <f t="shared" ref="H5:H14" si="1">F5*D5</f>
        <v>0</v>
      </c>
      <c r="I5" s="177"/>
      <c r="J5" s="30"/>
      <c r="K5" s="29"/>
      <c r="L5" s="7"/>
      <c r="M5" s="2" t="s">
        <v>14</v>
      </c>
      <c r="N5" s="4">
        <v>59.999999999999993</v>
      </c>
      <c r="O5" s="5">
        <f>N5*1.1</f>
        <v>66</v>
      </c>
      <c r="P5" s="180">
        <f t="shared" ref="P5:P10" si="2">N5*1.1</f>
        <v>66</v>
      </c>
      <c r="Q5" s="10">
        <f>IF($M$3&gt;=10,10,$M$3)</f>
        <v>10</v>
      </c>
      <c r="R5" s="177">
        <f>Q5*N5</f>
        <v>599.99999999999989</v>
      </c>
      <c r="S5" s="5">
        <f>Q5*O5</f>
        <v>660</v>
      </c>
      <c r="T5" s="30"/>
    </row>
    <row r="6" spans="1:20" x14ac:dyDescent="0.4">
      <c r="A6" s="29"/>
      <c r="B6" s="3">
        <v>20</v>
      </c>
      <c r="C6" s="177"/>
      <c r="D6" s="5">
        <v>770</v>
      </c>
      <c r="E6" s="180"/>
      <c r="F6" s="10">
        <f>IF(入力シート!$C$4=20,1,0)</f>
        <v>1</v>
      </c>
      <c r="G6" s="177">
        <f t="shared" si="0"/>
        <v>0</v>
      </c>
      <c r="H6" s="5">
        <f t="shared" si="1"/>
        <v>770</v>
      </c>
      <c r="I6" s="177"/>
      <c r="J6" s="30"/>
      <c r="K6" s="29"/>
      <c r="L6" s="7"/>
      <c r="M6" s="1" t="s">
        <v>15</v>
      </c>
      <c r="N6" s="4">
        <v>107</v>
      </c>
      <c r="O6" s="5">
        <f t="shared" ref="O6:O10" si="3">N6*1.1</f>
        <v>117.7</v>
      </c>
      <c r="P6" s="180">
        <f t="shared" si="2"/>
        <v>117.7</v>
      </c>
      <c r="Q6" s="10">
        <f>IF($M$3&gt;=20,10,IF(AND($M$3&gt;10,$M$3&lt;=20),$M$3-10,0))</f>
        <v>10</v>
      </c>
      <c r="R6" s="177">
        <f t="shared" ref="R6:R10" si="4">Q6*N6</f>
        <v>1070</v>
      </c>
      <c r="S6" s="5">
        <f t="shared" ref="S6:S10" si="5">Q6*O6</f>
        <v>1177</v>
      </c>
      <c r="T6" s="30"/>
    </row>
    <row r="7" spans="1:20" x14ac:dyDescent="0.4">
      <c r="A7" s="29"/>
      <c r="B7" s="3">
        <v>25</v>
      </c>
      <c r="C7" s="177"/>
      <c r="D7" s="5">
        <v>1100</v>
      </c>
      <c r="E7" s="180"/>
      <c r="F7" s="10">
        <f>IF(入力シート!$C$4=25,1,0)</f>
        <v>0</v>
      </c>
      <c r="G7" s="177">
        <f t="shared" si="0"/>
        <v>0</v>
      </c>
      <c r="H7" s="5">
        <f t="shared" si="1"/>
        <v>0</v>
      </c>
      <c r="I7" s="177"/>
      <c r="J7" s="30"/>
      <c r="K7" s="29"/>
      <c r="L7" s="7"/>
      <c r="M7" s="1" t="s">
        <v>16</v>
      </c>
      <c r="N7" s="4">
        <v>142</v>
      </c>
      <c r="O7" s="5">
        <f t="shared" si="3"/>
        <v>156.20000000000002</v>
      </c>
      <c r="P7" s="180">
        <f t="shared" si="2"/>
        <v>156.20000000000002</v>
      </c>
      <c r="Q7" s="10">
        <f>IF($M$3&gt;=50,30,IF(AND($M$3&gt;20,$M$3&lt;=50),$M$3-20,0))</f>
        <v>0</v>
      </c>
      <c r="R7" s="177">
        <f t="shared" si="4"/>
        <v>0</v>
      </c>
      <c r="S7" s="5">
        <f t="shared" si="5"/>
        <v>0</v>
      </c>
      <c r="T7" s="30"/>
    </row>
    <row r="8" spans="1:20" x14ac:dyDescent="0.4">
      <c r="A8" s="29"/>
      <c r="B8" s="3">
        <v>30</v>
      </c>
      <c r="C8" s="177"/>
      <c r="D8" s="5">
        <v>2882</v>
      </c>
      <c r="E8" s="180"/>
      <c r="F8" s="10">
        <f>IF(入力シート!$C$4=30,1,0)</f>
        <v>0</v>
      </c>
      <c r="G8" s="177">
        <f t="shared" si="0"/>
        <v>0</v>
      </c>
      <c r="H8" s="5">
        <f t="shared" si="1"/>
        <v>0</v>
      </c>
      <c r="I8" s="177"/>
      <c r="J8" s="30"/>
      <c r="K8" s="29"/>
      <c r="L8" s="7"/>
      <c r="M8" s="1" t="s">
        <v>17</v>
      </c>
      <c r="N8" s="4">
        <v>164.99999999999997</v>
      </c>
      <c r="O8" s="5">
        <f t="shared" si="3"/>
        <v>181.49999999999997</v>
      </c>
      <c r="P8" s="180">
        <f t="shared" si="2"/>
        <v>181.49999999999997</v>
      </c>
      <c r="Q8" s="10">
        <f>IF($M$3&gt;=100,50,IF(AND($M$3&gt;50,$M$3&lt;=500),$M$3-50,0))</f>
        <v>0</v>
      </c>
      <c r="R8" s="177">
        <f t="shared" si="4"/>
        <v>0</v>
      </c>
      <c r="S8" s="5">
        <f t="shared" si="5"/>
        <v>0</v>
      </c>
      <c r="T8" s="30"/>
    </row>
    <row r="9" spans="1:20" x14ac:dyDescent="0.4">
      <c r="A9" s="29"/>
      <c r="B9" s="3">
        <v>40</v>
      </c>
      <c r="C9" s="177"/>
      <c r="D9" s="5">
        <v>2882</v>
      </c>
      <c r="E9" s="180"/>
      <c r="F9" s="10">
        <f>IF(入力シート!$C$4=40,1,0)</f>
        <v>0</v>
      </c>
      <c r="G9" s="177">
        <f t="shared" si="0"/>
        <v>0</v>
      </c>
      <c r="H9" s="5">
        <f t="shared" si="1"/>
        <v>0</v>
      </c>
      <c r="I9" s="177"/>
      <c r="J9" s="30"/>
      <c r="K9" s="29"/>
      <c r="L9" s="7"/>
      <c r="M9" s="1" t="s">
        <v>18</v>
      </c>
      <c r="N9" s="4">
        <v>182.99999999999997</v>
      </c>
      <c r="O9" s="5">
        <f t="shared" si="3"/>
        <v>201.29999999999998</v>
      </c>
      <c r="P9" s="180">
        <f t="shared" si="2"/>
        <v>201.29999999999998</v>
      </c>
      <c r="Q9" s="10">
        <f>IF($M$3&gt;=500,400,IF(AND($M$3&gt;100,$M$3&lt;=500),$M$3-100,0))</f>
        <v>0</v>
      </c>
      <c r="R9" s="177">
        <f t="shared" si="4"/>
        <v>0</v>
      </c>
      <c r="S9" s="5">
        <f t="shared" si="5"/>
        <v>0</v>
      </c>
      <c r="T9" s="30"/>
    </row>
    <row r="10" spans="1:20" x14ac:dyDescent="0.4">
      <c r="A10" s="29"/>
      <c r="B10" s="3">
        <v>50</v>
      </c>
      <c r="C10" s="177"/>
      <c r="D10" s="5">
        <v>5764</v>
      </c>
      <c r="E10" s="180"/>
      <c r="F10" s="10">
        <f>IF(入力シート!$C$4=50,1,0)</f>
        <v>0</v>
      </c>
      <c r="G10" s="177">
        <f t="shared" si="0"/>
        <v>0</v>
      </c>
      <c r="H10" s="5">
        <f t="shared" si="1"/>
        <v>0</v>
      </c>
      <c r="I10" s="177"/>
      <c r="J10" s="30"/>
      <c r="K10" s="29"/>
      <c r="L10" s="7"/>
      <c r="M10" s="1" t="s">
        <v>2</v>
      </c>
      <c r="N10" s="4">
        <v>194.99999999999997</v>
      </c>
      <c r="O10" s="5">
        <f t="shared" si="3"/>
        <v>214.5</v>
      </c>
      <c r="P10" s="180">
        <f t="shared" si="2"/>
        <v>214.5</v>
      </c>
      <c r="Q10" s="10">
        <f>IF($M$3&gt;500,$M$3-500,0)</f>
        <v>0</v>
      </c>
      <c r="R10" s="177">
        <f t="shared" si="4"/>
        <v>0</v>
      </c>
      <c r="S10" s="5">
        <f t="shared" si="5"/>
        <v>0</v>
      </c>
      <c r="T10" s="30"/>
    </row>
    <row r="11" spans="1:20" x14ac:dyDescent="0.4">
      <c r="A11" s="29"/>
      <c r="B11" s="3">
        <v>75</v>
      </c>
      <c r="C11" s="177"/>
      <c r="D11" s="5">
        <v>11407</v>
      </c>
      <c r="E11" s="180"/>
      <c r="F11" s="10">
        <f>IF(入力シート!$C$4=75,1,0)</f>
        <v>0</v>
      </c>
      <c r="G11" s="177">
        <f t="shared" si="0"/>
        <v>0</v>
      </c>
      <c r="H11" s="5">
        <f t="shared" si="1"/>
        <v>0</v>
      </c>
      <c r="I11" s="177"/>
      <c r="J11" s="30"/>
      <c r="K11" s="29"/>
      <c r="L11" s="7"/>
      <c r="M11" s="7"/>
      <c r="N11" s="7"/>
      <c r="O11" s="7"/>
      <c r="P11" s="37" t="s">
        <v>6</v>
      </c>
      <c r="Q11" s="1">
        <f>SUM(Q5:Q10)</f>
        <v>20</v>
      </c>
      <c r="R11" s="179">
        <f>SUM(R5:R10)</f>
        <v>1670</v>
      </c>
      <c r="S11" s="15">
        <f t="shared" ref="S11" si="6">SUM(S5:S10)</f>
        <v>1837</v>
      </c>
      <c r="T11" s="30"/>
    </row>
    <row r="12" spans="1:20" x14ac:dyDescent="0.4">
      <c r="A12" s="29"/>
      <c r="B12" s="3">
        <v>100</v>
      </c>
      <c r="C12" s="177"/>
      <c r="D12" s="5">
        <v>20427</v>
      </c>
      <c r="E12" s="180"/>
      <c r="F12" s="10">
        <f>IF(入力シート!$C$4=100,1,0)</f>
        <v>0</v>
      </c>
      <c r="G12" s="177">
        <f t="shared" si="0"/>
        <v>0</v>
      </c>
      <c r="H12" s="5">
        <f t="shared" si="1"/>
        <v>0</v>
      </c>
      <c r="I12" s="177"/>
      <c r="J12" s="30"/>
      <c r="K12" s="29"/>
      <c r="L12" s="7"/>
      <c r="M12" s="7"/>
      <c r="N12" s="7"/>
      <c r="O12" s="7"/>
      <c r="P12" s="7" t="s">
        <v>22</v>
      </c>
      <c r="Q12" s="7"/>
      <c r="R12" s="182">
        <f>ROUNDDOWN(G15+R11,0)</f>
        <v>1670</v>
      </c>
      <c r="S12" s="16">
        <f>ROUNDDOWN(H15+S11,0)</f>
        <v>2607</v>
      </c>
      <c r="T12" s="30"/>
    </row>
    <row r="13" spans="1:20" x14ac:dyDescent="0.4">
      <c r="A13" s="29"/>
      <c r="B13" s="3">
        <v>150</v>
      </c>
      <c r="C13" s="177"/>
      <c r="D13" s="5">
        <v>51722</v>
      </c>
      <c r="E13" s="180"/>
      <c r="F13" s="10">
        <f>IF(入力シート!$C$4=150,1,0)</f>
        <v>0</v>
      </c>
      <c r="G13" s="177">
        <f t="shared" si="0"/>
        <v>0</v>
      </c>
      <c r="H13" s="5">
        <f t="shared" si="1"/>
        <v>0</v>
      </c>
      <c r="I13" s="177"/>
      <c r="J13" s="30"/>
      <c r="K13" s="29"/>
      <c r="L13" s="7"/>
      <c r="M13" s="7"/>
      <c r="N13" s="7"/>
      <c r="O13" s="7"/>
      <c r="P13" t="s">
        <v>88</v>
      </c>
      <c r="T13" s="30"/>
    </row>
    <row r="14" spans="1:20" x14ac:dyDescent="0.4">
      <c r="A14" s="29"/>
      <c r="B14" s="3">
        <v>200</v>
      </c>
      <c r="C14" s="177"/>
      <c r="D14" s="5">
        <v>51722</v>
      </c>
      <c r="E14" s="180"/>
      <c r="F14" s="10">
        <f>IF(入力シート!$C$4=200,1,0)</f>
        <v>0</v>
      </c>
      <c r="G14" s="177">
        <f t="shared" si="0"/>
        <v>0</v>
      </c>
      <c r="H14" s="5">
        <f t="shared" si="1"/>
        <v>0</v>
      </c>
      <c r="I14" s="177"/>
      <c r="J14" s="30"/>
      <c r="K14" s="29"/>
      <c r="L14" s="7"/>
      <c r="M14" s="7"/>
      <c r="N14" s="7"/>
      <c r="O14" s="7"/>
      <c r="P14" s="7"/>
      <c r="Q14" s="7"/>
      <c r="R14" s="7"/>
      <c r="S14" s="41"/>
      <c r="T14" s="30"/>
    </row>
    <row r="15" spans="1:20" x14ac:dyDescent="0.4">
      <c r="A15" s="29"/>
      <c r="B15" s="8"/>
      <c r="C15" s="6"/>
      <c r="D15" s="6"/>
      <c r="E15" s="6"/>
      <c r="F15" s="5">
        <f>SUM(F5:F14)</f>
        <v>1</v>
      </c>
      <c r="G15" s="179">
        <f>SUM(G5:G14)</f>
        <v>0</v>
      </c>
      <c r="H15" s="15">
        <f t="shared" ref="H15:I15" si="7">SUM(H5:H14)</f>
        <v>770</v>
      </c>
      <c r="I15" s="179">
        <f t="shared" si="7"/>
        <v>0</v>
      </c>
      <c r="J15" s="30"/>
      <c r="K15" s="40"/>
      <c r="L15" s="8"/>
      <c r="M15" s="25"/>
      <c r="N15" s="25"/>
      <c r="O15" s="25"/>
      <c r="P15" s="25"/>
      <c r="Q15" s="25"/>
      <c r="R15" s="25"/>
      <c r="S15" s="25"/>
      <c r="T15" s="30"/>
    </row>
    <row r="16" spans="1:20" ht="19.5" thickBot="1" x14ac:dyDescent="0.45">
      <c r="A16" s="31"/>
      <c r="B16" s="32"/>
      <c r="C16" s="33"/>
      <c r="D16" s="33"/>
      <c r="E16" s="33"/>
      <c r="F16" s="34"/>
      <c r="G16" s="34"/>
      <c r="H16" s="34"/>
      <c r="I16" s="34"/>
      <c r="J16" s="35"/>
      <c r="K16" s="29"/>
      <c r="L16" s="7"/>
      <c r="M16" s="7"/>
      <c r="N16" s="7"/>
      <c r="O16" s="7"/>
      <c r="P16" s="7"/>
      <c r="Q16" s="7"/>
      <c r="R16" s="7"/>
      <c r="S16" s="7"/>
      <c r="T16" s="30"/>
    </row>
    <row r="17" spans="1:20" ht="19.5" thickBot="1" x14ac:dyDescent="0.45">
      <c r="A17" s="36" t="s">
        <v>78</v>
      </c>
      <c r="B17" s="194"/>
      <c r="C17" s="195"/>
      <c r="D17" s="195"/>
      <c r="E17" s="195"/>
      <c r="F17" s="27"/>
      <c r="G17" s="27"/>
      <c r="H17" s="27"/>
      <c r="I17" s="27"/>
      <c r="J17" s="28"/>
      <c r="K17" s="29"/>
      <c r="L17" s="7"/>
      <c r="M17" s="7"/>
      <c r="N17" s="7"/>
      <c r="O17" s="7"/>
      <c r="P17" s="7"/>
      <c r="Q17" s="7"/>
      <c r="R17" s="7"/>
      <c r="S17" s="7"/>
      <c r="T17" s="30"/>
    </row>
    <row r="18" spans="1:20" ht="19.5" thickBot="1" x14ac:dyDescent="0.45">
      <c r="A18" s="29" t="s">
        <v>12</v>
      </c>
      <c r="B18" s="48">
        <f>入力シート!E4</f>
        <v>40</v>
      </c>
      <c r="C18" s="7" t="s">
        <v>82</v>
      </c>
      <c r="D18" s="7"/>
      <c r="E18" s="7"/>
      <c r="F18" s="7"/>
      <c r="G18" s="7"/>
      <c r="H18" s="7"/>
      <c r="I18" s="7"/>
      <c r="J18" s="30"/>
      <c r="K18" s="29" t="s">
        <v>84</v>
      </c>
      <c r="L18" s="39" t="s">
        <v>12</v>
      </c>
      <c r="M18" s="48">
        <f>ROUNDDOWN(B18/2,0)</f>
        <v>20</v>
      </c>
      <c r="N18" s="7" t="s">
        <v>82</v>
      </c>
      <c r="O18" s="7"/>
      <c r="P18" s="7"/>
      <c r="Q18" s="7"/>
      <c r="R18" s="7"/>
      <c r="S18" s="7"/>
      <c r="T18" s="30"/>
    </row>
    <row r="19" spans="1:20" x14ac:dyDescent="0.4">
      <c r="A19" s="29"/>
      <c r="B19" s="47" t="s">
        <v>5</v>
      </c>
      <c r="C19" s="12" t="s">
        <v>19</v>
      </c>
      <c r="D19" s="187" t="s">
        <v>20</v>
      </c>
      <c r="E19" s="14" t="s">
        <v>21</v>
      </c>
      <c r="F19" s="11" t="s">
        <v>5</v>
      </c>
      <c r="G19" s="3" t="s">
        <v>1</v>
      </c>
      <c r="H19" s="49" t="s">
        <v>80</v>
      </c>
      <c r="I19" s="186" t="s">
        <v>32</v>
      </c>
      <c r="J19" s="30"/>
      <c r="L19" s="7"/>
      <c r="M19" s="47" t="s">
        <v>5</v>
      </c>
      <c r="N19" s="12" t="s">
        <v>19</v>
      </c>
      <c r="O19" s="13" t="s">
        <v>31</v>
      </c>
      <c r="P19" s="183" t="s">
        <v>30</v>
      </c>
      <c r="Q19" s="11" t="s">
        <v>5</v>
      </c>
      <c r="R19" s="181" t="s">
        <v>1</v>
      </c>
      <c r="S19" s="3" t="s">
        <v>31</v>
      </c>
      <c r="T19" s="30"/>
    </row>
    <row r="20" spans="1:20" x14ac:dyDescent="0.4">
      <c r="A20" s="29"/>
      <c r="B20" s="2" t="s">
        <v>14</v>
      </c>
      <c r="C20" s="4">
        <v>59.999999999999993</v>
      </c>
      <c r="D20" s="177">
        <v>66</v>
      </c>
      <c r="E20" s="9">
        <f t="shared" ref="E20:E25" si="8">C20*1.1</f>
        <v>66</v>
      </c>
      <c r="F20" s="10">
        <f>IF($B$18&gt;=10,10,$B$18)</f>
        <v>10</v>
      </c>
      <c r="G20" s="5">
        <f t="shared" ref="G20:G25" si="9">F20*C20</f>
        <v>599.99999999999989</v>
      </c>
      <c r="H20" s="5">
        <f t="shared" ref="H20:H25" si="10">F20*D20</f>
        <v>660</v>
      </c>
      <c r="I20" s="177">
        <f t="shared" ref="I20:I25" si="11">F20*E20</f>
        <v>660</v>
      </c>
      <c r="J20" s="30"/>
      <c r="K20" s="29"/>
      <c r="L20" s="7"/>
      <c r="M20" s="2" t="s">
        <v>14</v>
      </c>
      <c r="N20" s="4">
        <v>59.999999999999993</v>
      </c>
      <c r="O20" s="5">
        <f>N20*1.1</f>
        <v>66</v>
      </c>
      <c r="P20" s="180">
        <f t="shared" ref="P20:P25" si="12">N20*1.1</f>
        <v>66</v>
      </c>
      <c r="Q20" s="10">
        <f>IF($M$18&gt;=10,10,$M$18)</f>
        <v>10</v>
      </c>
      <c r="R20" s="177">
        <f>Q20*N20</f>
        <v>599.99999999999989</v>
      </c>
      <c r="S20" s="5">
        <f>Q20*O20</f>
        <v>660</v>
      </c>
      <c r="T20" s="30"/>
    </row>
    <row r="21" spans="1:20" x14ac:dyDescent="0.4">
      <c r="A21" s="29"/>
      <c r="B21" s="1" t="s">
        <v>15</v>
      </c>
      <c r="C21" s="4">
        <v>107</v>
      </c>
      <c r="D21" s="177">
        <v>117.7</v>
      </c>
      <c r="E21" s="9">
        <f t="shared" si="8"/>
        <v>117.7</v>
      </c>
      <c r="F21" s="10">
        <f>IF($B$18&gt;=20,10,IF(AND($B$18&gt;10,$B$18&lt;=20),$B$18-10,0))</f>
        <v>10</v>
      </c>
      <c r="G21" s="5">
        <f t="shared" si="9"/>
        <v>1070</v>
      </c>
      <c r="H21" s="5">
        <f t="shared" si="10"/>
        <v>1177</v>
      </c>
      <c r="I21" s="177">
        <f t="shared" si="11"/>
        <v>1177</v>
      </c>
      <c r="J21" s="30"/>
      <c r="K21" s="29"/>
      <c r="L21" s="7"/>
      <c r="M21" s="1" t="s">
        <v>15</v>
      </c>
      <c r="N21" s="4">
        <v>107</v>
      </c>
      <c r="O21" s="5">
        <f t="shared" ref="O21:O25" si="13">N21*1.1</f>
        <v>117.7</v>
      </c>
      <c r="P21" s="180">
        <f t="shared" si="12"/>
        <v>117.7</v>
      </c>
      <c r="Q21" s="10">
        <f>IF($M$18&gt;=20,10,IF(AND($M$18&gt;10,$M$18&lt;=20),$M$18-10,0))</f>
        <v>10</v>
      </c>
      <c r="R21" s="177">
        <f t="shared" ref="R21:R25" si="14">Q21*N21</f>
        <v>1070</v>
      </c>
      <c r="S21" s="5">
        <f t="shared" ref="S21:S25" si="15">Q21*O21</f>
        <v>1177</v>
      </c>
      <c r="T21" s="30"/>
    </row>
    <row r="22" spans="1:20" x14ac:dyDescent="0.4">
      <c r="A22" s="29"/>
      <c r="B22" s="1" t="s">
        <v>16</v>
      </c>
      <c r="C22" s="4">
        <v>142</v>
      </c>
      <c r="D22" s="177">
        <v>156.20000000000002</v>
      </c>
      <c r="E22" s="9">
        <f t="shared" si="8"/>
        <v>156.20000000000002</v>
      </c>
      <c r="F22" s="10">
        <f>IF($B$18&gt;=50,30,IF(AND($B$18&gt;20,$B$18&lt;=50),$B$18-20,0))</f>
        <v>20</v>
      </c>
      <c r="G22" s="5">
        <f t="shared" si="9"/>
        <v>2840</v>
      </c>
      <c r="H22" s="5">
        <f t="shared" si="10"/>
        <v>3124.0000000000005</v>
      </c>
      <c r="I22" s="177">
        <f t="shared" si="11"/>
        <v>3124.0000000000005</v>
      </c>
      <c r="J22" s="30"/>
      <c r="K22" s="29"/>
      <c r="L22" s="7"/>
      <c r="M22" s="1" t="s">
        <v>16</v>
      </c>
      <c r="N22" s="4">
        <v>142</v>
      </c>
      <c r="O22" s="5">
        <f t="shared" si="13"/>
        <v>156.20000000000002</v>
      </c>
      <c r="P22" s="180">
        <f t="shared" si="12"/>
        <v>156.20000000000002</v>
      </c>
      <c r="Q22" s="10">
        <f>IF($M$18&gt;=50,30,IF(AND($M$18&gt;20,$M$18&lt;=50),$M$18-20,0))</f>
        <v>0</v>
      </c>
      <c r="R22" s="177">
        <f t="shared" si="14"/>
        <v>0</v>
      </c>
      <c r="S22" s="5">
        <f t="shared" si="15"/>
        <v>0</v>
      </c>
      <c r="T22" s="30"/>
    </row>
    <row r="23" spans="1:20" x14ac:dyDescent="0.4">
      <c r="A23" s="29"/>
      <c r="B23" s="1" t="s">
        <v>17</v>
      </c>
      <c r="C23" s="4">
        <v>164.99999999999997</v>
      </c>
      <c r="D23" s="177">
        <v>181.49999999999997</v>
      </c>
      <c r="E23" s="9">
        <f t="shared" si="8"/>
        <v>181.49999999999997</v>
      </c>
      <c r="F23" s="10">
        <f>IF($B$18&gt;=100,50,IF(AND($B$18&gt;50,$B$18&lt;=500),$B$18-50,0))</f>
        <v>0</v>
      </c>
      <c r="G23" s="5">
        <f t="shared" si="9"/>
        <v>0</v>
      </c>
      <c r="H23" s="5">
        <f t="shared" si="10"/>
        <v>0</v>
      </c>
      <c r="I23" s="177">
        <f t="shared" si="11"/>
        <v>0</v>
      </c>
      <c r="J23" s="30"/>
      <c r="K23" s="29"/>
      <c r="L23" s="7"/>
      <c r="M23" s="1" t="s">
        <v>17</v>
      </c>
      <c r="N23" s="4">
        <v>164.99999999999997</v>
      </c>
      <c r="O23" s="5">
        <f t="shared" si="13"/>
        <v>181.49999999999997</v>
      </c>
      <c r="P23" s="180">
        <f t="shared" si="12"/>
        <v>181.49999999999997</v>
      </c>
      <c r="Q23" s="10">
        <f>IF($M$18&gt;=100,50,IF(AND($M$18&gt;50,$M$18&lt;=500),$M$18-50,0))</f>
        <v>0</v>
      </c>
      <c r="R23" s="177">
        <f t="shared" si="14"/>
        <v>0</v>
      </c>
      <c r="S23" s="5">
        <f t="shared" si="15"/>
        <v>0</v>
      </c>
      <c r="T23" s="30"/>
    </row>
    <row r="24" spans="1:20" x14ac:dyDescent="0.4">
      <c r="A24" s="29"/>
      <c r="B24" s="1" t="s">
        <v>18</v>
      </c>
      <c r="C24" s="4">
        <v>182.99999999999997</v>
      </c>
      <c r="D24" s="177">
        <v>201.29999999999998</v>
      </c>
      <c r="E24" s="9">
        <f t="shared" si="8"/>
        <v>201.29999999999998</v>
      </c>
      <c r="F24" s="10">
        <f>IF($B$18&gt;=500,400,IF(AND($B$18&gt;100,$B$18&lt;=500),$B$18-100,0))</f>
        <v>0</v>
      </c>
      <c r="G24" s="5">
        <f t="shared" si="9"/>
        <v>0</v>
      </c>
      <c r="H24" s="5">
        <f t="shared" si="10"/>
        <v>0</v>
      </c>
      <c r="I24" s="177">
        <f t="shared" si="11"/>
        <v>0</v>
      </c>
      <c r="J24" s="30"/>
      <c r="K24" s="29"/>
      <c r="L24" s="7"/>
      <c r="M24" s="1" t="s">
        <v>18</v>
      </c>
      <c r="N24" s="4">
        <v>182.99999999999997</v>
      </c>
      <c r="O24" s="5">
        <f t="shared" si="13"/>
        <v>201.29999999999998</v>
      </c>
      <c r="P24" s="180">
        <f t="shared" si="12"/>
        <v>201.29999999999998</v>
      </c>
      <c r="Q24" s="10">
        <f>IF($M$18&gt;=500,400,IF(AND($M$18&gt;100,$M$18&lt;=500),$M$18-100,0))</f>
        <v>0</v>
      </c>
      <c r="R24" s="177">
        <f t="shared" si="14"/>
        <v>0</v>
      </c>
      <c r="S24" s="5">
        <f t="shared" si="15"/>
        <v>0</v>
      </c>
      <c r="T24" s="30"/>
    </row>
    <row r="25" spans="1:20" x14ac:dyDescent="0.4">
      <c r="A25" s="29"/>
      <c r="B25" s="1" t="s">
        <v>2</v>
      </c>
      <c r="C25" s="4">
        <v>194.99999999999997</v>
      </c>
      <c r="D25" s="177">
        <v>214.5</v>
      </c>
      <c r="E25" s="9">
        <f t="shared" si="8"/>
        <v>214.5</v>
      </c>
      <c r="F25" s="10">
        <f>IF($B$18&gt;500,$B$18-500,0)</f>
        <v>0</v>
      </c>
      <c r="G25" s="5">
        <f t="shared" si="9"/>
        <v>0</v>
      </c>
      <c r="H25" s="5">
        <f t="shared" si="10"/>
        <v>0</v>
      </c>
      <c r="I25" s="177">
        <f t="shared" si="11"/>
        <v>0</v>
      </c>
      <c r="J25" s="30"/>
      <c r="K25" s="29"/>
      <c r="L25" s="7"/>
      <c r="M25" s="1" t="s">
        <v>2</v>
      </c>
      <c r="N25" s="4">
        <v>194.99999999999997</v>
      </c>
      <c r="O25" s="5">
        <f t="shared" si="13"/>
        <v>214.5</v>
      </c>
      <c r="P25" s="180">
        <f t="shared" si="12"/>
        <v>214.5</v>
      </c>
      <c r="Q25" s="10">
        <f>IF($M$18&gt;500,$M$18-500,0)</f>
        <v>0</v>
      </c>
      <c r="R25" s="177">
        <f t="shared" si="14"/>
        <v>0</v>
      </c>
      <c r="S25" s="5">
        <f t="shared" si="15"/>
        <v>0</v>
      </c>
      <c r="T25" s="30"/>
    </row>
    <row r="26" spans="1:20" x14ac:dyDescent="0.4">
      <c r="A26" s="29"/>
      <c r="B26" s="7"/>
      <c r="C26" s="7"/>
      <c r="D26" s="7"/>
      <c r="E26" s="37" t="s">
        <v>6</v>
      </c>
      <c r="F26" s="1">
        <f>SUM(F20:F25)</f>
        <v>40</v>
      </c>
      <c r="G26" s="15">
        <f>SUM(G20:G25)</f>
        <v>4510</v>
      </c>
      <c r="H26" s="15">
        <f t="shared" ref="H26:I26" si="16">SUM(H20:H25)</f>
        <v>4961</v>
      </c>
      <c r="I26" s="178">
        <f t="shared" si="16"/>
        <v>4961</v>
      </c>
      <c r="J26" s="30"/>
      <c r="K26" s="29"/>
      <c r="L26" s="7"/>
      <c r="M26" s="7"/>
      <c r="N26" s="7"/>
      <c r="O26" s="7"/>
      <c r="P26" s="37" t="s">
        <v>6</v>
      </c>
      <c r="Q26" s="1">
        <f>SUM(Q20:Q25)</f>
        <v>20</v>
      </c>
      <c r="R26" s="179">
        <f>SUM(R20:R25)</f>
        <v>1670</v>
      </c>
      <c r="S26" s="15">
        <f t="shared" ref="S26" si="17">SUM(S20:S25)</f>
        <v>1837</v>
      </c>
      <c r="T26" s="30"/>
    </row>
    <row r="27" spans="1:20" x14ac:dyDescent="0.4">
      <c r="A27" s="29"/>
      <c r="B27" s="7"/>
      <c r="C27" s="7"/>
      <c r="D27" s="7"/>
      <c r="E27" s="7"/>
      <c r="F27" s="7"/>
      <c r="G27" s="7"/>
      <c r="H27" s="38"/>
      <c r="I27" s="38"/>
      <c r="J27" s="30"/>
      <c r="K27" s="29"/>
      <c r="L27" s="7"/>
      <c r="M27" s="7"/>
      <c r="N27" s="7"/>
      <c r="O27" s="7"/>
      <c r="P27" s="7" t="s">
        <v>22</v>
      </c>
      <c r="Q27" s="7"/>
      <c r="R27" s="182">
        <f>ROUNDDOWN(G15+R26,0)</f>
        <v>1670</v>
      </c>
      <c r="S27" s="16">
        <f>ROUNDDOWN(H15+S26,0)</f>
        <v>2607</v>
      </c>
      <c r="T27" s="30"/>
    </row>
    <row r="28" spans="1:20" x14ac:dyDescent="0.4">
      <c r="A28" s="29"/>
      <c r="B28" s="7"/>
      <c r="C28" s="7"/>
      <c r="D28" s="7"/>
      <c r="F28" s="7"/>
      <c r="G28" s="188" t="s">
        <v>22</v>
      </c>
      <c r="H28" s="16">
        <f>H15+H26</f>
        <v>5731</v>
      </c>
      <c r="I28" s="182">
        <f>I15+I26</f>
        <v>4961</v>
      </c>
      <c r="J28" s="30"/>
      <c r="K28" s="29"/>
      <c r="L28" s="7"/>
      <c r="M28" s="7"/>
      <c r="N28" s="7"/>
      <c r="O28" s="7"/>
      <c r="P28" t="s">
        <v>88</v>
      </c>
      <c r="T28" s="30"/>
    </row>
    <row r="29" spans="1:20" x14ac:dyDescent="0.4">
      <c r="A29" s="29"/>
      <c r="B29" s="7"/>
      <c r="C29" s="7"/>
      <c r="D29" s="7"/>
      <c r="E29" s="7"/>
      <c r="F29" s="7"/>
      <c r="G29" s="7" t="s">
        <v>85</v>
      </c>
      <c r="H29" s="190">
        <f>ROUNDDOWN(H28,0)</f>
        <v>5731</v>
      </c>
      <c r="I29" s="191">
        <f>ROUNDDOWN(I28,-1)</f>
        <v>4960</v>
      </c>
      <c r="J29" s="30"/>
      <c r="K29" s="29"/>
      <c r="L29" s="7"/>
      <c r="M29" s="7"/>
      <c r="N29" s="7"/>
      <c r="O29" s="7"/>
      <c r="P29" s="193" t="s">
        <v>86</v>
      </c>
      <c r="Q29" s="7"/>
      <c r="R29" s="182">
        <f>R12+R27</f>
        <v>3340</v>
      </c>
      <c r="S29" s="192">
        <f>S12+S27</f>
        <v>5214</v>
      </c>
      <c r="T29" s="30"/>
    </row>
    <row r="30" spans="1:20" ht="19.5" thickBot="1" x14ac:dyDescent="0.45">
      <c r="A30" s="31"/>
      <c r="B30" s="34"/>
      <c r="C30" s="34"/>
      <c r="D30" s="34"/>
      <c r="E30" s="34"/>
      <c r="F30" s="34"/>
      <c r="G30" s="34"/>
      <c r="H30" s="34"/>
      <c r="I30" s="34"/>
      <c r="J30" s="35"/>
      <c r="K30" s="31"/>
      <c r="L30" s="34"/>
      <c r="M30" s="34"/>
      <c r="N30" s="34"/>
      <c r="O30" s="34"/>
      <c r="P30" s="34"/>
      <c r="Q30" s="34"/>
      <c r="R30" s="184"/>
      <c r="S30" s="184"/>
      <c r="T30" s="35"/>
    </row>
  </sheetData>
  <phoneticPr fontId="2"/>
  <pageMargins left="0.7" right="0.7" top="0.75" bottom="0.75" header="0.3" footer="0.3"/>
  <pageSetup paperSize="9" scale="5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V37"/>
  <sheetViews>
    <sheetView zoomScaleNormal="100" workbookViewId="0">
      <selection activeCell="I16" sqref="I16"/>
    </sheetView>
  </sheetViews>
  <sheetFormatPr defaultRowHeight="18.75" x14ac:dyDescent="0.4"/>
  <cols>
    <col min="7" max="9" width="11.125" bestFit="1" customWidth="1"/>
    <col min="11" max="11" width="5" customWidth="1"/>
    <col min="17" max="17" width="6.25" customWidth="1"/>
    <col min="18" max="19" width="10" bestFit="1" customWidth="1"/>
    <col min="20" max="20" width="11.375" customWidth="1"/>
    <col min="21" max="21" width="2.5" customWidth="1"/>
  </cols>
  <sheetData>
    <row r="1" spans="1:21" x14ac:dyDescent="0.4">
      <c r="A1" s="26"/>
      <c r="B1" s="27"/>
      <c r="C1" s="27"/>
      <c r="D1" s="27"/>
      <c r="E1" s="27"/>
      <c r="F1" s="27"/>
      <c r="G1" s="27"/>
      <c r="H1" s="27"/>
      <c r="I1" s="27"/>
      <c r="J1" s="28"/>
    </row>
    <row r="2" spans="1:21" ht="19.5" thickBot="1" x14ac:dyDescent="0.45">
      <c r="A2" s="29"/>
      <c r="B2" s="17"/>
      <c r="C2" s="213" t="s">
        <v>1</v>
      </c>
      <c r="D2" s="201" t="s">
        <v>8</v>
      </c>
      <c r="E2" s="20" t="s">
        <v>9</v>
      </c>
      <c r="F2" s="7"/>
      <c r="G2" s="7"/>
      <c r="H2" s="7"/>
      <c r="I2" s="7"/>
      <c r="J2" s="30"/>
    </row>
    <row r="3" spans="1:21" x14ac:dyDescent="0.4">
      <c r="A3" s="29"/>
      <c r="B3" s="18" t="s">
        <v>0</v>
      </c>
      <c r="C3" s="19">
        <v>924.99999999999989</v>
      </c>
      <c r="D3" s="198">
        <f>C3*1.08</f>
        <v>998.99999999999989</v>
      </c>
      <c r="E3" s="4">
        <f>C3*1.1</f>
        <v>1017.5</v>
      </c>
      <c r="F3" s="7"/>
      <c r="G3" s="7"/>
      <c r="H3" s="7"/>
      <c r="I3" s="7"/>
      <c r="J3" s="30"/>
      <c r="L3" s="26" t="s">
        <v>92</v>
      </c>
      <c r="M3" s="27"/>
      <c r="N3" s="27"/>
      <c r="O3" s="27"/>
      <c r="P3" s="27"/>
      <c r="Q3" s="27"/>
      <c r="R3" s="27"/>
      <c r="S3" s="27"/>
      <c r="T3" s="27"/>
      <c r="U3" s="28"/>
    </row>
    <row r="4" spans="1:21" ht="19.5" thickBot="1" x14ac:dyDescent="0.45">
      <c r="A4" s="31"/>
      <c r="B4" s="42"/>
      <c r="C4" s="43"/>
      <c r="D4" s="44"/>
      <c r="E4" s="44"/>
      <c r="F4" s="34"/>
      <c r="G4" s="34"/>
      <c r="H4" s="34"/>
      <c r="I4" s="34"/>
      <c r="J4" s="35"/>
      <c r="L4" s="29" t="s">
        <v>95</v>
      </c>
      <c r="M4" s="7"/>
      <c r="N4" s="7"/>
      <c r="O4" s="7"/>
      <c r="P4" s="7"/>
      <c r="Q4" s="7"/>
      <c r="R4" s="7"/>
      <c r="S4" s="7"/>
      <c r="T4" s="7"/>
      <c r="U4" s="30"/>
    </row>
    <row r="5" spans="1:21" ht="19.5" thickBot="1" x14ac:dyDescent="0.45">
      <c r="A5" s="26" t="s">
        <v>12</v>
      </c>
      <c r="B5" s="204">
        <f>入力シート!E4</f>
        <v>40</v>
      </c>
      <c r="C5" s="203" t="s">
        <v>94</v>
      </c>
      <c r="D5" s="27"/>
      <c r="E5" s="27"/>
      <c r="F5" s="27"/>
      <c r="G5" s="27"/>
      <c r="H5" s="27"/>
      <c r="I5" s="27"/>
      <c r="J5" s="28"/>
      <c r="L5" s="29" t="s">
        <v>12</v>
      </c>
      <c r="M5" s="204">
        <f>ROUNDUP($B$5/2,0)</f>
        <v>20</v>
      </c>
      <c r="N5" s="7" t="s">
        <v>94</v>
      </c>
      <c r="O5" s="7"/>
      <c r="P5" s="7"/>
      <c r="Q5" s="7"/>
      <c r="R5" s="7"/>
      <c r="S5" s="7"/>
      <c r="T5" s="7"/>
      <c r="U5" s="30"/>
    </row>
    <row r="6" spans="1:21" x14ac:dyDescent="0.4">
      <c r="A6" s="29"/>
      <c r="B6" s="208" t="s">
        <v>5</v>
      </c>
      <c r="C6" s="205" t="s">
        <v>1</v>
      </c>
      <c r="D6" s="206"/>
      <c r="E6" s="207" t="s">
        <v>9</v>
      </c>
      <c r="F6" s="11" t="s">
        <v>5</v>
      </c>
      <c r="G6" s="3" t="s">
        <v>3</v>
      </c>
      <c r="H6" s="181"/>
      <c r="I6" s="3" t="s">
        <v>9</v>
      </c>
      <c r="J6" s="30"/>
      <c r="L6" s="29"/>
      <c r="M6" s="47" t="s">
        <v>5</v>
      </c>
      <c r="N6" s="3" t="s">
        <v>1</v>
      </c>
      <c r="O6" s="206"/>
      <c r="P6" s="207" t="s">
        <v>9</v>
      </c>
      <c r="Q6" s="11" t="s">
        <v>5</v>
      </c>
      <c r="R6" s="3" t="s">
        <v>3</v>
      </c>
      <c r="S6" s="181"/>
      <c r="T6" s="3" t="s">
        <v>9</v>
      </c>
      <c r="U6" s="30"/>
    </row>
    <row r="7" spans="1:21" x14ac:dyDescent="0.4">
      <c r="A7" s="29"/>
      <c r="B7" s="209">
        <v>10</v>
      </c>
      <c r="C7" s="46">
        <v>34.999999999999993</v>
      </c>
      <c r="D7" s="198"/>
      <c r="E7" s="4">
        <f>C7*1.1</f>
        <v>38.499999999999993</v>
      </c>
      <c r="F7" s="10">
        <f>IF($B$5&gt;=10,10,$B$5)</f>
        <v>10</v>
      </c>
      <c r="G7" s="4">
        <f>F7*C7</f>
        <v>349.99999999999994</v>
      </c>
      <c r="H7" s="198"/>
      <c r="I7" s="4">
        <f>E7*F7</f>
        <v>384.99999999999994</v>
      </c>
      <c r="J7" s="30"/>
      <c r="L7" s="29"/>
      <c r="M7" s="209">
        <v>10</v>
      </c>
      <c r="N7" s="4">
        <v>34.999999999999993</v>
      </c>
      <c r="O7" s="198"/>
      <c r="P7" s="4">
        <f>N7*1.1</f>
        <v>38.499999999999993</v>
      </c>
      <c r="Q7" s="10">
        <f>IF($M$5&gt;=10,10,$M$5)</f>
        <v>10</v>
      </c>
      <c r="R7" s="4">
        <f>Q7*N7</f>
        <v>349.99999999999994</v>
      </c>
      <c r="S7" s="198"/>
      <c r="T7" s="4">
        <f>P7*Q7</f>
        <v>384.99999999999994</v>
      </c>
      <c r="U7" s="30"/>
    </row>
    <row r="8" spans="1:21" x14ac:dyDescent="0.4">
      <c r="A8" s="29"/>
      <c r="B8" s="209">
        <v>20</v>
      </c>
      <c r="C8" s="46">
        <v>124.99999999999999</v>
      </c>
      <c r="D8" s="198"/>
      <c r="E8" s="4">
        <f t="shared" ref="E8:E15" si="0">C8*1.1</f>
        <v>137.5</v>
      </c>
      <c r="F8" s="10">
        <f>IF($B$5&gt;=20,10,IF(AND($B$5&gt;10,$B$5&lt;=20),$B$5-10,0))</f>
        <v>10</v>
      </c>
      <c r="G8" s="4">
        <f t="shared" ref="G8:G15" si="1">F8*C8</f>
        <v>1249.9999999999998</v>
      </c>
      <c r="H8" s="198"/>
      <c r="I8" s="4">
        <f t="shared" ref="I8:I15" si="2">E8*F8</f>
        <v>1375</v>
      </c>
      <c r="J8" s="30"/>
      <c r="L8" s="29"/>
      <c r="M8" s="209">
        <v>20</v>
      </c>
      <c r="N8" s="4">
        <v>124.99999999999999</v>
      </c>
      <c r="O8" s="198"/>
      <c r="P8" s="4">
        <f t="shared" ref="P8:P15" si="3">N8*1.1</f>
        <v>137.5</v>
      </c>
      <c r="Q8" s="10">
        <f>IF($M$5&gt;=20,10,IF(AND($M$5&gt;10,$M$5&lt;=20),$M$5-10,0))</f>
        <v>10</v>
      </c>
      <c r="R8" s="4">
        <f t="shared" ref="R8:R15" si="4">Q8*N8</f>
        <v>1249.9999999999998</v>
      </c>
      <c r="S8" s="198"/>
      <c r="T8" s="4">
        <f t="shared" ref="T8:T15" si="5">P8*Q8</f>
        <v>1375</v>
      </c>
      <c r="U8" s="30"/>
    </row>
    <row r="9" spans="1:21" x14ac:dyDescent="0.4">
      <c r="A9" s="29"/>
      <c r="B9" s="209">
        <v>30</v>
      </c>
      <c r="C9" s="46">
        <v>144.99999999999997</v>
      </c>
      <c r="D9" s="198"/>
      <c r="E9" s="4">
        <f t="shared" si="0"/>
        <v>159.49999999999997</v>
      </c>
      <c r="F9" s="10">
        <f>IF($B$5&gt;=30,10,IF(AND($B$5&gt;20,$B$5&lt;=30),$B$5-20,0))</f>
        <v>10</v>
      </c>
      <c r="G9" s="4">
        <f t="shared" si="1"/>
        <v>1449.9999999999998</v>
      </c>
      <c r="H9" s="198"/>
      <c r="I9" s="4">
        <f t="shared" si="2"/>
        <v>1594.9999999999998</v>
      </c>
      <c r="J9" s="30"/>
      <c r="L9" s="29"/>
      <c r="M9" s="209">
        <v>30</v>
      </c>
      <c r="N9" s="4">
        <v>144.99999999999997</v>
      </c>
      <c r="O9" s="198"/>
      <c r="P9" s="4">
        <f t="shared" si="3"/>
        <v>159.49999999999997</v>
      </c>
      <c r="Q9" s="10">
        <f>IF($M$5&gt;=30,10,IF(AND($M$5&gt;20,$M$5&lt;=30),$M$5-20,0))</f>
        <v>0</v>
      </c>
      <c r="R9" s="4">
        <f t="shared" si="4"/>
        <v>0</v>
      </c>
      <c r="S9" s="198"/>
      <c r="T9" s="4">
        <f t="shared" si="5"/>
        <v>0</v>
      </c>
      <c r="U9" s="30"/>
    </row>
    <row r="10" spans="1:21" x14ac:dyDescent="0.4">
      <c r="A10" s="29"/>
      <c r="B10" s="209">
        <v>50</v>
      </c>
      <c r="C10" s="46">
        <v>160</v>
      </c>
      <c r="D10" s="198"/>
      <c r="E10" s="4">
        <f t="shared" si="0"/>
        <v>176</v>
      </c>
      <c r="F10" s="10">
        <f>IF($B$5&gt;=50,20,IF(AND($B$5&gt;30,$B$5&lt;=50),$B$5-30,0))</f>
        <v>10</v>
      </c>
      <c r="G10" s="4">
        <f t="shared" si="1"/>
        <v>1600</v>
      </c>
      <c r="H10" s="198"/>
      <c r="I10" s="4">
        <f t="shared" si="2"/>
        <v>1760</v>
      </c>
      <c r="J10" s="30"/>
      <c r="L10" s="29"/>
      <c r="M10" s="209">
        <v>50</v>
      </c>
      <c r="N10" s="4">
        <v>160</v>
      </c>
      <c r="O10" s="198"/>
      <c r="P10" s="4">
        <f t="shared" si="3"/>
        <v>176</v>
      </c>
      <c r="Q10" s="10">
        <f>IF($M$5&gt;=50,20,IF(AND($M$5&gt;30,$M$5&lt;=50),$M$5-30,0))</f>
        <v>0</v>
      </c>
      <c r="R10" s="4">
        <f t="shared" si="4"/>
        <v>0</v>
      </c>
      <c r="S10" s="198"/>
      <c r="T10" s="4">
        <f t="shared" si="5"/>
        <v>0</v>
      </c>
      <c r="U10" s="30"/>
    </row>
    <row r="11" spans="1:21" x14ac:dyDescent="0.4">
      <c r="A11" s="29"/>
      <c r="B11" s="209">
        <v>100</v>
      </c>
      <c r="C11" s="46">
        <v>175</v>
      </c>
      <c r="D11" s="198"/>
      <c r="E11" s="4">
        <f t="shared" si="0"/>
        <v>192.50000000000003</v>
      </c>
      <c r="F11" s="10">
        <f>IF($B$5&gt;=100,50,IF(AND($B$5&gt;50,$B$5&lt;=100),$B$5-50,0))</f>
        <v>0</v>
      </c>
      <c r="G11" s="4">
        <f t="shared" si="1"/>
        <v>0</v>
      </c>
      <c r="H11" s="198"/>
      <c r="I11" s="4">
        <f t="shared" si="2"/>
        <v>0</v>
      </c>
      <c r="J11" s="30"/>
      <c r="L11" s="29"/>
      <c r="M11" s="209">
        <v>100</v>
      </c>
      <c r="N11" s="4">
        <v>175</v>
      </c>
      <c r="O11" s="198"/>
      <c r="P11" s="4">
        <f t="shared" si="3"/>
        <v>192.50000000000003</v>
      </c>
      <c r="Q11" s="10">
        <f>IF($M$5&gt;=100,50,IF(AND($M$5&gt;50,$M$5&lt;=100),$M$5-50,0))</f>
        <v>0</v>
      </c>
      <c r="R11" s="4">
        <f t="shared" si="4"/>
        <v>0</v>
      </c>
      <c r="S11" s="198"/>
      <c r="T11" s="4">
        <f t="shared" si="5"/>
        <v>0</v>
      </c>
      <c r="U11" s="30"/>
    </row>
    <row r="12" spans="1:21" x14ac:dyDescent="0.4">
      <c r="A12" s="29"/>
      <c r="B12" s="209">
        <v>200</v>
      </c>
      <c r="C12" s="46">
        <v>189.99999999999997</v>
      </c>
      <c r="D12" s="198"/>
      <c r="E12" s="4">
        <f t="shared" si="0"/>
        <v>208.99999999999997</v>
      </c>
      <c r="F12" s="10">
        <f>IF($B$5&gt;=200,100,IF(AND($B$5&gt;100,$B$5&lt;=200),$B$5-100,0))</f>
        <v>0</v>
      </c>
      <c r="G12" s="4">
        <f t="shared" si="1"/>
        <v>0</v>
      </c>
      <c r="H12" s="198"/>
      <c r="I12" s="4">
        <f t="shared" si="2"/>
        <v>0</v>
      </c>
      <c r="J12" s="30"/>
      <c r="L12" s="29"/>
      <c r="M12" s="209">
        <v>200</v>
      </c>
      <c r="N12" s="4">
        <v>189.99999999999997</v>
      </c>
      <c r="O12" s="198"/>
      <c r="P12" s="4">
        <f t="shared" si="3"/>
        <v>208.99999999999997</v>
      </c>
      <c r="Q12" s="10">
        <f>IF($M$5&gt;=200,100,IF(AND($M$5&gt;100,$M$5&lt;=200),$M$5-100,0))</f>
        <v>0</v>
      </c>
      <c r="R12" s="4">
        <f t="shared" si="4"/>
        <v>0</v>
      </c>
      <c r="S12" s="198"/>
      <c r="T12" s="4">
        <f t="shared" si="5"/>
        <v>0</v>
      </c>
      <c r="U12" s="30"/>
    </row>
    <row r="13" spans="1:21" x14ac:dyDescent="0.4">
      <c r="A13" s="29"/>
      <c r="B13" s="209">
        <v>500</v>
      </c>
      <c r="C13" s="46">
        <v>200</v>
      </c>
      <c r="D13" s="198"/>
      <c r="E13" s="4">
        <f t="shared" si="0"/>
        <v>220.00000000000003</v>
      </c>
      <c r="F13" s="10">
        <f>IF($B$5&gt;=500,300,IF(AND($B$5&gt;200,$B$5&lt;=500),$B$5-200,0))</f>
        <v>0</v>
      </c>
      <c r="G13" s="4">
        <f t="shared" si="1"/>
        <v>0</v>
      </c>
      <c r="H13" s="198"/>
      <c r="I13" s="4">
        <f t="shared" si="2"/>
        <v>0</v>
      </c>
      <c r="J13" s="30"/>
      <c r="L13" s="29"/>
      <c r="M13" s="209">
        <v>500</v>
      </c>
      <c r="N13" s="4">
        <v>200</v>
      </c>
      <c r="O13" s="198"/>
      <c r="P13" s="4">
        <f t="shared" si="3"/>
        <v>220.00000000000003</v>
      </c>
      <c r="Q13" s="10">
        <f>IF($M$5&gt;=500,300,IF(AND($M$5&gt;200,$M$5&lt;=500),$M$5-200,0))</f>
        <v>0</v>
      </c>
      <c r="R13" s="4">
        <f t="shared" si="4"/>
        <v>0</v>
      </c>
      <c r="S13" s="198"/>
      <c r="T13" s="4">
        <f t="shared" si="5"/>
        <v>0</v>
      </c>
      <c r="U13" s="30"/>
    </row>
    <row r="14" spans="1:21" x14ac:dyDescent="0.4">
      <c r="A14" s="29"/>
      <c r="B14" s="209">
        <v>1000</v>
      </c>
      <c r="C14" s="46">
        <v>210</v>
      </c>
      <c r="D14" s="198"/>
      <c r="E14" s="4">
        <f t="shared" si="0"/>
        <v>231.00000000000003</v>
      </c>
      <c r="F14" s="10">
        <f>IF($B$5&gt;=1000,500,IF(AND($B$5&gt;500,$B$5&lt;=1000),$B$5-500,0))</f>
        <v>0</v>
      </c>
      <c r="G14" s="4">
        <f t="shared" si="1"/>
        <v>0</v>
      </c>
      <c r="H14" s="198"/>
      <c r="I14" s="4">
        <f t="shared" si="2"/>
        <v>0</v>
      </c>
      <c r="J14" s="30"/>
      <c r="L14" s="29"/>
      <c r="M14" s="209">
        <v>1000</v>
      </c>
      <c r="N14" s="4">
        <v>210</v>
      </c>
      <c r="O14" s="198"/>
      <c r="P14" s="4">
        <f t="shared" si="3"/>
        <v>231.00000000000003</v>
      </c>
      <c r="Q14" s="10">
        <f>IF($M$5&gt;=1000,500,IF(AND($M$5&gt;500,$M$5&lt;=1000),$M$5-500,0))</f>
        <v>0</v>
      </c>
      <c r="R14" s="4">
        <f t="shared" si="4"/>
        <v>0</v>
      </c>
      <c r="S14" s="198"/>
      <c r="T14" s="4">
        <f t="shared" si="5"/>
        <v>0</v>
      </c>
      <c r="U14" s="30"/>
    </row>
    <row r="15" spans="1:21" ht="19.5" thickBot="1" x14ac:dyDescent="0.45">
      <c r="A15" s="29"/>
      <c r="B15" s="209" t="s">
        <v>24</v>
      </c>
      <c r="C15" s="46">
        <v>219.99999999999997</v>
      </c>
      <c r="D15" s="198"/>
      <c r="E15" s="4">
        <f t="shared" si="0"/>
        <v>242</v>
      </c>
      <c r="F15" s="21">
        <f>IF($B$5&gt;1000,$B$5-1000,0)</f>
        <v>0</v>
      </c>
      <c r="G15" s="22">
        <f t="shared" si="1"/>
        <v>0</v>
      </c>
      <c r="H15" s="199"/>
      <c r="I15" s="22">
        <f t="shared" si="2"/>
        <v>0</v>
      </c>
      <c r="J15" s="30"/>
      <c r="L15" s="29"/>
      <c r="M15" s="209" t="s">
        <v>24</v>
      </c>
      <c r="N15" s="4">
        <v>219.99999999999997</v>
      </c>
      <c r="O15" s="198"/>
      <c r="P15" s="4">
        <f t="shared" si="3"/>
        <v>242</v>
      </c>
      <c r="Q15" s="21">
        <f>IF($M$5&gt;1000,$M$5-1000,0)</f>
        <v>0</v>
      </c>
      <c r="R15" s="22">
        <f t="shared" si="4"/>
        <v>0</v>
      </c>
      <c r="S15" s="199"/>
      <c r="T15" s="22">
        <f t="shared" si="5"/>
        <v>0</v>
      </c>
      <c r="U15" s="30"/>
    </row>
    <row r="16" spans="1:21" ht="19.5" thickTop="1" x14ac:dyDescent="0.4">
      <c r="A16" s="29"/>
      <c r="B16" s="7"/>
      <c r="C16" s="202"/>
      <c r="D16" s="7"/>
      <c r="E16" s="7" t="s">
        <v>6</v>
      </c>
      <c r="F16" s="23">
        <f>SUM(F7:F15)</f>
        <v>40</v>
      </c>
      <c r="G16" s="24">
        <f t="shared" ref="G16:I16" si="6">SUM(G7:G15)</f>
        <v>4650</v>
      </c>
      <c r="H16" s="200"/>
      <c r="I16" s="24">
        <f t="shared" si="6"/>
        <v>5115</v>
      </c>
      <c r="J16" s="30"/>
      <c r="L16" s="29"/>
      <c r="M16" s="7"/>
      <c r="N16" s="7"/>
      <c r="O16" s="7"/>
      <c r="P16" s="7" t="s">
        <v>6</v>
      </c>
      <c r="Q16" s="23">
        <f>SUM(Q7:Q15)</f>
        <v>20</v>
      </c>
      <c r="R16" s="24">
        <f t="shared" ref="R16:T16" si="7">SUM(R7:R15)</f>
        <v>1599.9999999999998</v>
      </c>
      <c r="S16" s="200"/>
      <c r="T16" s="24">
        <f t="shared" si="7"/>
        <v>1760</v>
      </c>
      <c r="U16" s="30"/>
    </row>
    <row r="17" spans="1:22" x14ac:dyDescent="0.4">
      <c r="A17" s="29"/>
      <c r="B17" s="7"/>
      <c r="C17" s="7"/>
      <c r="D17" s="7"/>
      <c r="E17" s="7"/>
      <c r="F17" s="7"/>
      <c r="G17" s="7"/>
      <c r="H17" s="7"/>
      <c r="I17" s="7"/>
      <c r="J17" s="30"/>
      <c r="L17" s="29"/>
      <c r="M17" s="7"/>
      <c r="N17" s="7"/>
      <c r="O17" s="7"/>
      <c r="P17" s="7"/>
      <c r="Q17" s="7"/>
      <c r="R17" s="7"/>
      <c r="S17" s="7"/>
      <c r="T17" s="7"/>
      <c r="U17" s="30"/>
    </row>
    <row r="18" spans="1:22" x14ac:dyDescent="0.4">
      <c r="A18" s="29"/>
      <c r="B18" s="7"/>
      <c r="C18" s="7"/>
      <c r="D18" s="7"/>
      <c r="E18" s="7" t="s">
        <v>90</v>
      </c>
      <c r="F18" s="7"/>
      <c r="G18" s="5">
        <f>C3+G16</f>
        <v>5575</v>
      </c>
      <c r="H18" s="177"/>
      <c r="I18" s="5">
        <f>E3+I16</f>
        <v>6132.5</v>
      </c>
      <c r="J18" s="30"/>
      <c r="L18" s="29"/>
      <c r="M18" s="7"/>
      <c r="N18" s="7"/>
      <c r="O18" s="7"/>
      <c r="P18" s="7" t="s">
        <v>22</v>
      </c>
      <c r="Q18" s="7"/>
      <c r="R18" s="5">
        <f>ROUNDDOWN(C3+R16,0)</f>
        <v>2525</v>
      </c>
      <c r="S18" s="177"/>
      <c r="T18" s="5">
        <f>ROUNDDOWN(E3+T16,0)</f>
        <v>2777</v>
      </c>
      <c r="U18" s="30"/>
      <c r="V18" t="s">
        <v>97</v>
      </c>
    </row>
    <row r="19" spans="1:22" ht="19.5" thickBot="1" x14ac:dyDescent="0.45">
      <c r="A19" s="29"/>
      <c r="B19" s="7"/>
      <c r="C19" s="7"/>
      <c r="D19" s="7"/>
      <c r="E19" s="7"/>
      <c r="F19" s="7"/>
      <c r="G19" s="7"/>
      <c r="H19" s="7"/>
      <c r="I19" s="7"/>
      <c r="J19" s="30"/>
      <c r="L19" s="29" t="s">
        <v>96</v>
      </c>
      <c r="M19" s="7"/>
      <c r="N19" s="7"/>
      <c r="O19" s="7"/>
      <c r="P19" s="7"/>
      <c r="Q19" s="7"/>
      <c r="R19" s="7"/>
      <c r="S19" s="45"/>
      <c r="T19" s="45"/>
      <c r="U19" s="30"/>
    </row>
    <row r="20" spans="1:22" ht="19.5" thickBot="1" x14ac:dyDescent="0.45">
      <c r="A20" s="29"/>
      <c r="B20" s="7"/>
      <c r="C20" s="7"/>
      <c r="D20" s="7"/>
      <c r="E20" s="7"/>
      <c r="F20" s="7"/>
      <c r="G20" s="7"/>
      <c r="H20" s="7"/>
      <c r="I20" s="7"/>
      <c r="J20" s="30"/>
      <c r="L20" s="29" t="s">
        <v>12</v>
      </c>
      <c r="M20" s="204">
        <f>ROUNDDOWN($B$5/2,0)</f>
        <v>20</v>
      </c>
      <c r="N20" s="7" t="s">
        <v>94</v>
      </c>
      <c r="O20" s="7"/>
      <c r="P20" s="7"/>
      <c r="Q20" s="7"/>
      <c r="R20" s="7"/>
      <c r="S20" s="7"/>
      <c r="T20" s="7"/>
      <c r="U20" s="30"/>
    </row>
    <row r="21" spans="1:22" ht="19.5" thickBot="1" x14ac:dyDescent="0.45">
      <c r="A21" s="31"/>
      <c r="B21" s="34"/>
      <c r="C21" s="34"/>
      <c r="D21" s="34"/>
      <c r="E21" s="34"/>
      <c r="F21" s="34"/>
      <c r="G21" s="34"/>
      <c r="H21" s="34"/>
      <c r="I21" s="34"/>
      <c r="J21" s="35"/>
      <c r="L21" s="29"/>
      <c r="M21" s="47" t="s">
        <v>5</v>
      </c>
      <c r="N21" s="3" t="s">
        <v>1</v>
      </c>
      <c r="O21" s="206"/>
      <c r="P21" s="207" t="s">
        <v>9</v>
      </c>
      <c r="Q21" s="11" t="s">
        <v>5</v>
      </c>
      <c r="R21" s="3" t="s">
        <v>3</v>
      </c>
      <c r="S21" s="181"/>
      <c r="T21" s="3" t="s">
        <v>9</v>
      </c>
      <c r="U21" s="30"/>
    </row>
    <row r="22" spans="1:22" x14ac:dyDescent="0.4">
      <c r="L22" s="29"/>
      <c r="M22" s="209">
        <v>10</v>
      </c>
      <c r="N22" s="4">
        <v>34.999999999999993</v>
      </c>
      <c r="O22" s="198"/>
      <c r="P22" s="4">
        <f>N22*1.1</f>
        <v>38.499999999999993</v>
      </c>
      <c r="Q22" s="10">
        <f>IF($M$20&gt;=10,10,$M$20)</f>
        <v>10</v>
      </c>
      <c r="R22" s="4">
        <f>Q22*N22</f>
        <v>349.99999999999994</v>
      </c>
      <c r="S22" s="198"/>
      <c r="T22" s="4">
        <f>P22*Q22</f>
        <v>384.99999999999994</v>
      </c>
      <c r="U22" s="30"/>
    </row>
    <row r="23" spans="1:22" x14ac:dyDescent="0.4">
      <c r="L23" s="29"/>
      <c r="M23" s="209">
        <v>20</v>
      </c>
      <c r="N23" s="4">
        <v>124.99999999999999</v>
      </c>
      <c r="O23" s="198"/>
      <c r="P23" s="4">
        <f t="shared" ref="P23:P30" si="8">N23*1.1</f>
        <v>137.5</v>
      </c>
      <c r="Q23" s="10">
        <f>IF($M$20&gt;=20,10,IF(AND($M$20&gt;10,$M$20&lt;=20),$M$20-10,0))</f>
        <v>10</v>
      </c>
      <c r="R23" s="4">
        <f t="shared" ref="R23:R30" si="9">Q23*N23</f>
        <v>1249.9999999999998</v>
      </c>
      <c r="S23" s="198"/>
      <c r="T23" s="4">
        <f>P23*Q23</f>
        <v>1375</v>
      </c>
      <c r="U23" s="30"/>
    </row>
    <row r="24" spans="1:22" x14ac:dyDescent="0.4">
      <c r="L24" s="29"/>
      <c r="M24" s="209">
        <v>30</v>
      </c>
      <c r="N24" s="4">
        <v>144.99999999999997</v>
      </c>
      <c r="O24" s="198"/>
      <c r="P24" s="4">
        <f t="shared" si="8"/>
        <v>159.49999999999997</v>
      </c>
      <c r="Q24" s="10">
        <f>IF($M$20&gt;=30,10,IF(AND($M$20&gt;20,$M$20&lt;=30),$M$20-20,0))</f>
        <v>0</v>
      </c>
      <c r="R24" s="4">
        <f t="shared" si="9"/>
        <v>0</v>
      </c>
      <c r="S24" s="198"/>
      <c r="T24" s="4">
        <f t="shared" ref="T24:T30" si="10">P24*Q24</f>
        <v>0</v>
      </c>
      <c r="U24" s="30"/>
    </row>
    <row r="25" spans="1:22" x14ac:dyDescent="0.4">
      <c r="L25" s="29"/>
      <c r="M25" s="209">
        <v>50</v>
      </c>
      <c r="N25" s="4">
        <v>160</v>
      </c>
      <c r="O25" s="198"/>
      <c r="P25" s="4">
        <f t="shared" si="8"/>
        <v>176</v>
      </c>
      <c r="Q25" s="10">
        <f>IF($M$20&gt;=50,20,IF(AND($M$20&gt;30,$M$20&lt;=50),$M$20-30,0))</f>
        <v>0</v>
      </c>
      <c r="R25" s="4">
        <f t="shared" si="9"/>
        <v>0</v>
      </c>
      <c r="S25" s="198"/>
      <c r="T25" s="4">
        <f t="shared" si="10"/>
        <v>0</v>
      </c>
      <c r="U25" s="30"/>
    </row>
    <row r="26" spans="1:22" x14ac:dyDescent="0.4">
      <c r="L26" s="29"/>
      <c r="M26" s="209">
        <v>100</v>
      </c>
      <c r="N26" s="4">
        <v>175</v>
      </c>
      <c r="O26" s="198"/>
      <c r="P26" s="4">
        <f t="shared" si="8"/>
        <v>192.50000000000003</v>
      </c>
      <c r="Q26" s="10">
        <f>IF($M$20&gt;=100,50,IF(AND($M$20&gt;50,$M$20&lt;=100),$M$20-50,0))</f>
        <v>0</v>
      </c>
      <c r="R26" s="4">
        <f t="shared" si="9"/>
        <v>0</v>
      </c>
      <c r="S26" s="198"/>
      <c r="T26" s="4">
        <f t="shared" si="10"/>
        <v>0</v>
      </c>
      <c r="U26" s="30"/>
    </row>
    <row r="27" spans="1:22" x14ac:dyDescent="0.4">
      <c r="L27" s="29"/>
      <c r="M27" s="209">
        <v>200</v>
      </c>
      <c r="N27" s="4">
        <v>189.99999999999997</v>
      </c>
      <c r="O27" s="198"/>
      <c r="P27" s="4">
        <f t="shared" si="8"/>
        <v>208.99999999999997</v>
      </c>
      <c r="Q27" s="10">
        <f>IF($M$20&gt;=200,100,IF(AND($M$20&gt;100,$M$20&lt;=200),$M$20-100,0))</f>
        <v>0</v>
      </c>
      <c r="R27" s="4">
        <f t="shared" si="9"/>
        <v>0</v>
      </c>
      <c r="S27" s="198"/>
      <c r="T27" s="4">
        <f t="shared" si="10"/>
        <v>0</v>
      </c>
      <c r="U27" s="30"/>
    </row>
    <row r="28" spans="1:22" x14ac:dyDescent="0.4">
      <c r="L28" s="29"/>
      <c r="M28" s="209">
        <v>500</v>
      </c>
      <c r="N28" s="4">
        <v>200</v>
      </c>
      <c r="O28" s="198"/>
      <c r="P28" s="4">
        <f t="shared" si="8"/>
        <v>220.00000000000003</v>
      </c>
      <c r="Q28" s="10">
        <f>IF($M$20&gt;=500,300,IF(AND($M$20&gt;200,$M$20&lt;=500),$M$20-200,0))</f>
        <v>0</v>
      </c>
      <c r="R28" s="4">
        <f t="shared" si="9"/>
        <v>0</v>
      </c>
      <c r="S28" s="198"/>
      <c r="T28" s="4">
        <f t="shared" si="10"/>
        <v>0</v>
      </c>
      <c r="U28" s="30"/>
    </row>
    <row r="29" spans="1:22" x14ac:dyDescent="0.4">
      <c r="L29" s="29"/>
      <c r="M29" s="209">
        <v>1000</v>
      </c>
      <c r="N29" s="4">
        <v>210</v>
      </c>
      <c r="O29" s="198"/>
      <c r="P29" s="4">
        <f t="shared" si="8"/>
        <v>231.00000000000003</v>
      </c>
      <c r="Q29" s="10">
        <f>IF($M$20&gt;=1000,500,IF(AND($M$20&gt;500,$M$20&lt;=1000),$M$20-500,0))</f>
        <v>0</v>
      </c>
      <c r="R29" s="4">
        <f t="shared" si="9"/>
        <v>0</v>
      </c>
      <c r="S29" s="198"/>
      <c r="T29" s="4">
        <f t="shared" si="10"/>
        <v>0</v>
      </c>
      <c r="U29" s="30"/>
    </row>
    <row r="30" spans="1:22" ht="19.5" thickBot="1" x14ac:dyDescent="0.45">
      <c r="L30" s="29"/>
      <c r="M30" s="209" t="s">
        <v>24</v>
      </c>
      <c r="N30" s="4">
        <v>219.99999999999997</v>
      </c>
      <c r="O30" s="198"/>
      <c r="P30" s="4">
        <f t="shared" si="8"/>
        <v>242</v>
      </c>
      <c r="Q30" s="21">
        <f>IF($M$20&gt;1000,$M$20-1000,0)</f>
        <v>0</v>
      </c>
      <c r="R30" s="22">
        <f t="shared" si="9"/>
        <v>0</v>
      </c>
      <c r="S30" s="199"/>
      <c r="T30" s="22">
        <f t="shared" si="10"/>
        <v>0</v>
      </c>
      <c r="U30" s="30"/>
    </row>
    <row r="31" spans="1:22" ht="19.5" thickTop="1" x14ac:dyDescent="0.4">
      <c r="L31" s="29"/>
      <c r="M31" s="7"/>
      <c r="N31" s="7"/>
      <c r="O31" s="7"/>
      <c r="P31" s="7" t="s">
        <v>6</v>
      </c>
      <c r="Q31" s="23">
        <f>SUM(Q22:Q30)</f>
        <v>20</v>
      </c>
      <c r="R31" s="24">
        <f t="shared" ref="R31:T31" si="11">SUM(R22:R30)</f>
        <v>1599.9999999999998</v>
      </c>
      <c r="S31" s="200"/>
      <c r="T31" s="24">
        <f t="shared" si="11"/>
        <v>1760</v>
      </c>
      <c r="U31" s="30"/>
    </row>
    <row r="32" spans="1:22" x14ac:dyDescent="0.4">
      <c r="L32" s="29"/>
      <c r="M32" s="7"/>
      <c r="N32" s="7"/>
      <c r="O32" s="7"/>
      <c r="P32" s="7"/>
      <c r="Q32" s="7"/>
      <c r="R32" s="7"/>
      <c r="S32" s="7"/>
      <c r="T32" s="7"/>
      <c r="U32" s="30"/>
    </row>
    <row r="33" spans="12:22" x14ac:dyDescent="0.4">
      <c r="L33" s="29"/>
      <c r="M33" s="7"/>
      <c r="N33" s="7"/>
      <c r="O33" s="7"/>
      <c r="P33" s="7" t="s">
        <v>22</v>
      </c>
      <c r="Q33" s="7"/>
      <c r="R33" s="5">
        <f>ROUNDDOWN(C3+R31,0)</f>
        <v>2525</v>
      </c>
      <c r="S33" s="177"/>
      <c r="T33" s="5">
        <f>ROUNDDOWN(E3+T31,0)</f>
        <v>2777</v>
      </c>
      <c r="U33" s="30"/>
      <c r="V33" t="s">
        <v>97</v>
      </c>
    </row>
    <row r="34" spans="12:22" x14ac:dyDescent="0.4">
      <c r="L34" s="29"/>
      <c r="M34" s="7"/>
      <c r="N34" s="7"/>
      <c r="O34" s="7"/>
      <c r="P34" s="7"/>
      <c r="Q34" s="7"/>
      <c r="R34" s="7"/>
      <c r="S34" s="7"/>
      <c r="T34" s="7"/>
      <c r="U34" s="30"/>
    </row>
    <row r="35" spans="12:22" x14ac:dyDescent="0.4">
      <c r="L35" s="29"/>
      <c r="M35" s="7"/>
      <c r="N35" s="7"/>
      <c r="O35" s="7"/>
      <c r="P35" s="193" t="s">
        <v>91</v>
      </c>
      <c r="Q35" s="7"/>
      <c r="R35" s="16">
        <f>R18+R33</f>
        <v>5050</v>
      </c>
      <c r="S35" s="182"/>
      <c r="T35" s="192">
        <f t="shared" ref="T35" si="12">T18+T33</f>
        <v>5554</v>
      </c>
      <c r="U35" s="30"/>
    </row>
    <row r="36" spans="12:22" x14ac:dyDescent="0.4">
      <c r="L36" s="29"/>
      <c r="M36" s="7"/>
      <c r="N36" s="7"/>
      <c r="O36" s="7"/>
      <c r="U36" s="30"/>
    </row>
    <row r="37" spans="12:22" ht="19.5" thickBot="1" x14ac:dyDescent="0.45">
      <c r="L37" s="31"/>
      <c r="M37" s="34"/>
      <c r="N37" s="34"/>
      <c r="O37" s="34"/>
      <c r="P37" s="34"/>
      <c r="Q37" s="34"/>
      <c r="R37" s="34"/>
      <c r="S37" s="34"/>
      <c r="T37" s="34"/>
      <c r="U37" s="35"/>
    </row>
  </sheetData>
  <phoneticPr fontId="2"/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入力シート</vt:lpstr>
      <vt:lpstr>日割</vt:lpstr>
      <vt:lpstr>料金計算内訳</vt:lpstr>
      <vt:lpstr>水道</vt:lpstr>
      <vt:lpstr>下水道</vt:lpstr>
      <vt:lpstr>日割!Print_Area</vt:lpstr>
      <vt:lpstr>入力シート!Print_Area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2023-01-23T02:33:10Z</cp:lastPrinted>
  <dcterms:created xsi:type="dcterms:W3CDTF">2019-07-25T05:50:31Z</dcterms:created>
  <dcterms:modified xsi:type="dcterms:W3CDTF">2023-07-03T06:44:38Z</dcterms:modified>
</cp:coreProperties>
</file>