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T:\"/>
    </mc:Choice>
  </mc:AlternateContent>
  <xr:revisionPtr revIDLastSave="0" documentId="13_ncr:1_{3797CE0B-9B82-4729-A3FD-EF1C5929C36B}" xr6:coauthVersionLast="47" xr6:coauthVersionMax="47" xr10:uidLastSave="{00000000-0000-0000-0000-000000000000}"/>
  <bookViews>
    <workbookView xWindow="-110" yWindow="-110" windowWidth="19420" windowHeight="1030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<sst xmlns="http://schemas.openxmlformats.org/spreadsheetml/2006/main" count="6878" uniqueCount="2437">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</sst>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36</xdr:row>
          <xdr:rowOff>146050</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43</xdr:row>
          <xdr:rowOff>184150</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00000000-0008-0000-00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43</xdr:row>
          <xdr:rowOff>184150</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00000000-0008-0000-00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43</xdr:row>
          <xdr:rowOff>184150</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00000000-0008-0000-00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43</xdr:row>
          <xdr:rowOff>184150</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00000000-0008-0000-00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43</xdr:row>
          <xdr:rowOff>184150</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00000000-0008-0000-00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00000000-0008-0000-0000-00003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00000000-0008-0000-00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00000000-0008-0000-00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00000000-0008-0000-00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00000000-0008-0000-0000-00003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00000000-0008-0000-00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97</xdr:row>
          <xdr:rowOff>146050</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00000000-0008-0000-00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102</xdr:row>
          <xdr:rowOff>184150</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00000000-0008-0000-0000-00003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00000000-0008-0000-00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113</xdr:row>
          <xdr:rowOff>171450</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00000000-0008-0000-00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117</xdr:row>
          <xdr:rowOff>165100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00000000-0008-0000-0000-00000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124</xdr:row>
          <xdr:rowOff>196850</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00000000-0008-0000-0000-00003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00000000-0008-0000-0000-00003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00000000-0008-0000-0000-00004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7</xdr:col>
          <xdr:colOff>0</xdr:colOff>
          <xdr:row>119</xdr:row>
          <xdr:rowOff>203200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00000000-0008-0000-0000-00004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7</xdr:col>
          <xdr:colOff>0</xdr:colOff>
          <xdr:row>120</xdr:row>
          <xdr:rowOff>222250</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00000000-0008-0000-0000-00004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7</xdr:col>
          <xdr:colOff>0</xdr:colOff>
          <xdr:row>121</xdr:row>
          <xdr:rowOff>222250</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00000000-0008-0000-0000-00004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6</xdr:col>
          <xdr:colOff>0</xdr:colOff>
          <xdr:row>154</xdr:row>
          <xdr:rowOff>12700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00000000-0008-0000-0000-00004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6</xdr:col>
          <xdr:colOff>0</xdr:colOff>
          <xdr:row>155</xdr:row>
          <xdr:rowOff>19050</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00000000-0008-0000-0000-00004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6</xdr:col>
          <xdr:colOff>0</xdr:colOff>
          <xdr:row>156</xdr:row>
          <xdr:rowOff>19050</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00000000-0008-0000-0000-00004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6</xdr:col>
          <xdr:colOff>0</xdr:colOff>
          <xdr:row>157</xdr:row>
          <xdr:rowOff>19050</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00000000-0008-0000-0000-00004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25400</xdr:rowOff>
        </xdr:from>
        <xdr:to>
          <xdr:col>6</xdr:col>
          <xdr:colOff>0</xdr:colOff>
          <xdr:row>157</xdr:row>
          <xdr:rowOff>171450</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00000000-0008-0000-0000-00004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196850</xdr:rowOff>
        </xdr:from>
        <xdr:to>
          <xdr:col>6</xdr:col>
          <xdr:colOff>0</xdr:colOff>
          <xdr:row>159</xdr:row>
          <xdr:rowOff>19050</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00000000-0008-0000-0000-00004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6</xdr:col>
          <xdr:colOff>0</xdr:colOff>
          <xdr:row>160</xdr:row>
          <xdr:rowOff>19050</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00000000-0008-0000-0000-00004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6</xdr:col>
          <xdr:colOff>0</xdr:colOff>
          <xdr:row>161</xdr:row>
          <xdr:rowOff>19050</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00000000-0008-0000-0000-00004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6</xdr:col>
          <xdr:colOff>0</xdr:colOff>
          <xdr:row>162</xdr:row>
          <xdr:rowOff>19050</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6</xdr:col>
          <xdr:colOff>0</xdr:colOff>
          <xdr:row>162</xdr:row>
          <xdr:rowOff>165100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00000000-0008-0000-0000-00004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6</xdr:col>
          <xdr:colOff>0</xdr:colOff>
          <xdr:row>164</xdr:row>
          <xdr:rowOff>19050</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163</xdr:row>
          <xdr:rowOff>95250</xdr:rowOff>
        </xdr:from>
        <xdr:to>
          <xdr:col>6</xdr:col>
          <xdr:colOff>0</xdr:colOff>
          <xdr:row>165</xdr:row>
          <xdr:rowOff>19050</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00000000-0008-0000-0000-00004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19050</xdr:rowOff>
        </xdr:from>
        <xdr:to>
          <xdr:col>6</xdr:col>
          <xdr:colOff>0</xdr:colOff>
          <xdr:row>165</xdr:row>
          <xdr:rowOff>165100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00000000-0008-0000-0000-00005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171450</xdr:rowOff>
        </xdr:from>
        <xdr:to>
          <xdr:col>6</xdr:col>
          <xdr:colOff>0</xdr:colOff>
          <xdr:row>167</xdr:row>
          <xdr:rowOff>19050</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00000000-0008-0000-0000-00005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95250</xdr:rowOff>
        </xdr:from>
        <xdr:to>
          <xdr:col>6</xdr:col>
          <xdr:colOff>0</xdr:colOff>
          <xdr:row>168</xdr:row>
          <xdr:rowOff>19050</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00000000-0008-0000-0000-00005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6</xdr:col>
          <xdr:colOff>0</xdr:colOff>
          <xdr:row>169</xdr:row>
          <xdr:rowOff>19050</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00000000-0008-0000-0000-00005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6</xdr:col>
          <xdr:colOff>0</xdr:colOff>
          <xdr:row>170</xdr:row>
          <xdr:rowOff>19050</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00000000-0008-0000-0000-00005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19050</xdr:rowOff>
        </xdr:from>
        <xdr:to>
          <xdr:col>6</xdr:col>
          <xdr:colOff>0</xdr:colOff>
          <xdr:row>170</xdr:row>
          <xdr:rowOff>152400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171450</xdr:rowOff>
        </xdr:from>
        <xdr:to>
          <xdr:col>6</xdr:col>
          <xdr:colOff>0</xdr:colOff>
          <xdr:row>172</xdr:row>
          <xdr:rowOff>19050</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00000000-0008-0000-0000-00005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95250</xdr:rowOff>
        </xdr:from>
        <xdr:to>
          <xdr:col>6</xdr:col>
          <xdr:colOff>0</xdr:colOff>
          <xdr:row>173</xdr:row>
          <xdr:rowOff>19050</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00000000-0008-0000-0000-00005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00000000-0008-0000-0000-00005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6</xdr:col>
          <xdr:colOff>0</xdr:colOff>
          <xdr:row>176</xdr:row>
          <xdr:rowOff>19050</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6</xdr:col>
          <xdr:colOff>0</xdr:colOff>
          <xdr:row>177</xdr:row>
          <xdr:rowOff>19050</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00000000-0008-0000-0000-00005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180</xdr:row>
          <xdr:rowOff>31750</xdr:rowOff>
        </xdr:from>
        <xdr:to>
          <xdr:col>6</xdr:col>
          <xdr:colOff>6350</xdr:colOff>
          <xdr:row>180</xdr:row>
          <xdr:rowOff>177800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00000000-0008-0000-0000-00005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6350</xdr:rowOff>
        </xdr:from>
        <xdr:to>
          <xdr:col>6</xdr:col>
          <xdr:colOff>12700</xdr:colOff>
          <xdr:row>181</xdr:row>
          <xdr:rowOff>152400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00000000-0008-0000-0000-00005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186</xdr:row>
          <xdr:rowOff>31750</xdr:rowOff>
        </xdr:from>
        <xdr:to>
          <xdr:col>1</xdr:col>
          <xdr:colOff>146050</xdr:colOff>
          <xdr:row>186</xdr:row>
          <xdr:rowOff>171450</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00000000-0008-0000-0000-00005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76200</xdr:rowOff>
        </xdr:from>
        <xdr:to>
          <xdr:col>1</xdr:col>
          <xdr:colOff>139700</xdr:colOff>
          <xdr:row>187</xdr:row>
          <xdr:rowOff>228600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00000000-0008-0000-0000-00006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69850</xdr:rowOff>
        </xdr:from>
        <xdr:to>
          <xdr:col>1</xdr:col>
          <xdr:colOff>146050</xdr:colOff>
          <xdr:row>188</xdr:row>
          <xdr:rowOff>222250</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12700</xdr:rowOff>
        </xdr:from>
        <xdr:to>
          <xdr:col>1</xdr:col>
          <xdr:colOff>146050</xdr:colOff>
          <xdr:row>189</xdr:row>
          <xdr:rowOff>165100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00000000-0008-0000-0000-00006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1</xdr:col>
          <xdr:colOff>146050</xdr:colOff>
          <xdr:row>190</xdr:row>
          <xdr:rowOff>165100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177800</xdr:rowOff>
        </xdr:from>
        <xdr:to>
          <xdr:col>1</xdr:col>
          <xdr:colOff>146050</xdr:colOff>
          <xdr:row>192</xdr:row>
          <xdr:rowOff>19050</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00000000-0008-0000-0000-00006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74</xdr:row>
          <xdr:rowOff>165100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00000000-0008-0000-0000-00006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95250</xdr:rowOff>
        </xdr:from>
        <xdr:to>
          <xdr:col>2</xdr:col>
          <xdr:colOff>127000</xdr:colOff>
          <xdr:row>136</xdr:row>
          <xdr:rowOff>25400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00000000-0008-0000-0000-00006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135</xdr:row>
          <xdr:rowOff>107950</xdr:rowOff>
        </xdr:from>
        <xdr:to>
          <xdr:col>2</xdr:col>
          <xdr:colOff>114300</xdr:colOff>
          <xdr:row>137</xdr:row>
          <xdr:rowOff>25400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00000000-0008-0000-0000-00006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19050</xdr:rowOff>
        </xdr:from>
        <xdr:to>
          <xdr:col>2</xdr:col>
          <xdr:colOff>114300</xdr:colOff>
          <xdr:row>137</xdr:row>
          <xdr:rowOff>209550</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00000000-0008-0000-0000-00006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196850</xdr:rowOff>
        </xdr:from>
        <xdr:to>
          <xdr:col>2</xdr:col>
          <xdr:colOff>114300</xdr:colOff>
          <xdr:row>139</xdr:row>
          <xdr:rowOff>25400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00000000-0008-0000-0000-00006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4525" y="4235450"/>
          <a:ext cx="298450" cy="4127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5000" y="4797425"/>
          <a:ext cx="298450" cy="714375"/>
          <a:chOff x="4479758" y="4496299"/>
          <a:chExt cx="301792" cy="780039"/>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5000" y="5661023"/>
          <a:ext cx="298450" cy="698090"/>
          <a:chOff x="4549825" y="5456610"/>
          <a:chExt cx="308371" cy="762893"/>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797550" y="9019957"/>
          <a:ext cx="298450" cy="377825"/>
          <a:chOff x="5763126" y="8931899"/>
          <a:chExt cx="301792" cy="494806"/>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5000" y="6524625"/>
          <a:ext cx="298450" cy="638175"/>
          <a:chOff x="4549825" y="6438935"/>
          <a:chExt cx="308371" cy="779259"/>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01174" y="8141425"/>
          <a:ext cx="214227" cy="700940"/>
          <a:chOff x="5767612" y="8168785"/>
          <a:chExt cx="217586" cy="792430"/>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797550" y="4216400"/>
          <a:ext cx="298450" cy="4318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797550" y="4803866"/>
          <a:ext cx="29845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797550" y="5661025"/>
          <a:ext cx="29845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797550" y="6524625"/>
          <a:ext cx="29845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2978" y="7303826"/>
          <a:ext cx="226598" cy="716619"/>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3681" y="8137227"/>
          <a:ext cx="193898" cy="754247"/>
          <a:chOff x="4538979" y="8166086"/>
          <a:chExt cx="208607" cy="749765"/>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05942" y="7290775"/>
          <a:ext cx="298452" cy="720505"/>
          <a:chOff x="5809589" y="7290601"/>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00000000-0008-0000-09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00000000-0008-0000-09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00000000-0008-0000-09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00000000-0008-0000-09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00000000-0008-0000-09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00000000-0008-0000-09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00000000-0008-0000-09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00000000-0008-0000-09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00000000-0008-0000-09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00000000-0008-0000-09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00000000-0008-0000-09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00000000-0008-0000-09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00000000-0008-0000-0900-00000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00000000-0008-0000-0900-000032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00000000-0008-0000-0900-000033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00000000-0008-0000-0900-00003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00000000-0008-0000-0900-00003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00000000-0008-0000-0900-000036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00000000-0008-0000-0900-00003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00000000-0008-0000-0900-00003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00000000-0008-0000-0900-00003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00000000-0008-0000-0900-00003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00000000-0008-0000-0900-00003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00000000-0008-0000-0900-00003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00000000-0008-0000-0900-00003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00000000-0008-0000-0900-00003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00000000-0008-0000-0900-00003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00000000-0008-0000-0900-00004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00000000-0008-0000-0900-000041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00000000-0008-0000-0900-00004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00000000-0008-0000-0900-00004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00000000-0008-0000-0900-00004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00000000-0008-0000-0900-00004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00000000-0008-0000-0900-000046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00000000-0008-0000-0900-00004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00000000-0008-0000-0900-000048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00000000-0008-0000-0900-00004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00000000-0008-0000-0900-00004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00000000-0008-0000-0900-00004B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00000000-0008-0000-0900-00004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00000000-0008-0000-0900-00004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00000000-0008-0000-0900-00004E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00000000-0008-0000-0900-00004F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00000000-0008-0000-0900-000050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00000000-0008-0000-0900-00005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00000000-0008-0000-0900-00005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00000000-0008-0000-0900-000053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00000000-0008-0000-0900-00005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00000000-0008-0000-0900-000055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4525" y="4235450"/>
          <a:ext cx="298450" cy="412750"/>
          <a:chOff x="4501773" y="3772585"/>
          <a:chExt cx="303832" cy="486864"/>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5000" y="4797425"/>
          <a:ext cx="298450" cy="714375"/>
          <a:chOff x="4479758" y="4496299"/>
          <a:chExt cx="301792" cy="780068"/>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5000" y="5661023"/>
          <a:ext cx="298450" cy="698090"/>
          <a:chOff x="4549825" y="5456626"/>
          <a:chExt cx="308371" cy="762872"/>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797550" y="9019957"/>
          <a:ext cx="298450" cy="377825"/>
          <a:chOff x="5763126" y="8931942"/>
          <a:chExt cx="301792" cy="494770"/>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5000" y="6524625"/>
          <a:ext cx="29845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01174" y="8141425"/>
          <a:ext cx="214227" cy="700940"/>
          <a:chOff x="5767503" y="8168763"/>
          <a:chExt cx="217614" cy="792542"/>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797550" y="4216400"/>
          <a:ext cx="298450" cy="4318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797550" y="4803866"/>
          <a:ext cx="29845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797550" y="5661025"/>
          <a:ext cx="29845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797550" y="6524625"/>
          <a:ext cx="29845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2978" y="7303826"/>
          <a:ext cx="226598" cy="716619"/>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3681" y="8137227"/>
          <a:ext cx="193898" cy="754247"/>
          <a:chOff x="4539032" y="8166009"/>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05513" y="7292311"/>
          <a:ext cx="201066" cy="728165"/>
          <a:chOff x="5898930" y="7305247"/>
          <a:chExt cx="210544" cy="71807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359071" y="503858"/>
          <a:ext cx="8026720" cy="32317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00000000-0008-0000-0A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00000000-0008-0000-0A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00000000-0008-0000-0A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00000000-0008-0000-0A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00000000-0008-0000-0A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00000000-0008-0000-0A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00000000-0008-0000-0A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00000000-0008-0000-0A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00000000-0008-0000-0A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00000000-0008-0000-0A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00000000-0008-0000-0A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00000000-0008-0000-0A00-00000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19</xdr:row>
          <xdr:rowOff>76200</xdr:rowOff>
        </xdr:from>
        <xdr:to>
          <xdr:col>29</xdr:col>
          <xdr:colOff>57150</xdr:colOff>
          <xdr:row>22</xdr:row>
          <xdr:rowOff>63500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00000000-0008-0000-0A00-00003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00000000-0008-0000-0A00-000031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00000000-0008-0000-0A00-000032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88900</xdr:rowOff>
        </xdr:from>
        <xdr:to>
          <xdr:col>30</xdr:col>
          <xdr:colOff>38100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00000000-0008-0000-0A00-000033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00000000-0008-0000-0A00-00003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00000000-0008-0000-0A00-000035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00000000-0008-0000-0A00-00003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00000000-0008-0000-0A00-00003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00000000-0008-0000-0A00-00003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00000000-0008-0000-0A00-00003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19050</xdr:colOff>
          <xdr:row>34</xdr:row>
          <xdr:rowOff>82550</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00000000-0008-0000-0A00-00003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34</xdr:row>
          <xdr:rowOff>6350</xdr:rowOff>
        </xdr:from>
        <xdr:to>
          <xdr:col>38</xdr:col>
          <xdr:colOff>57150</xdr:colOff>
          <xdr:row>38</xdr:row>
          <xdr:rowOff>57150</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00000000-0008-0000-0A00-00003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42</xdr:row>
          <xdr:rowOff>57150</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00000000-0008-0000-0A00-00003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25400</xdr:rowOff>
        </xdr:from>
        <xdr:to>
          <xdr:col>38</xdr:col>
          <xdr:colOff>38100</xdr:colOff>
          <xdr:row>46</xdr:row>
          <xdr:rowOff>44450</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00000000-0008-0000-0A00-00003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82550</xdr:rowOff>
        </xdr:from>
        <xdr:to>
          <xdr:col>30</xdr:col>
          <xdr:colOff>31750</xdr:colOff>
          <xdr:row>23</xdr:row>
          <xdr:rowOff>57150</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00000000-0008-0000-0A00-00003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00000000-0008-0000-0A00-00003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00000000-0008-0000-0A00-00004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00000000-0008-0000-0A00-00004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00000000-0008-0000-0A00-00004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00000000-0008-0000-0A00-00004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00000000-0008-0000-0A00-00004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00000000-0008-0000-0A00-000045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00000000-0008-0000-0A00-00004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00000000-0008-0000-0A00-00004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00000000-0008-0000-0A00-00004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00000000-0008-0000-0A00-00004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00000000-0008-0000-0A00-00004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00000000-0008-0000-0A00-00004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00000000-0008-0000-0A00-00004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00000000-0008-0000-0A00-00004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00000000-0008-0000-0A00-00004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00000000-0008-0000-0A00-00004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00000000-0008-0000-0A00-00005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00000000-0008-0000-0A00-00005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76200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00000000-0008-0000-0A00-00005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88900</xdr:rowOff>
        </xdr:from>
        <xdr:to>
          <xdr:col>37</xdr:col>
          <xdr:colOff>12700</xdr:colOff>
          <xdr:row>36</xdr:row>
          <xdr:rowOff>19050</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00000000-0008-0000-0A00-000055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165100</xdr:rowOff>
        </xdr:from>
        <xdr:to>
          <xdr:col>37</xdr:col>
          <xdr:colOff>19050</xdr:colOff>
          <xdr:row>38</xdr:row>
          <xdr:rowOff>12700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00000000-0008-0000-0A00-00005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384196" y="4236408"/>
          <a:ext cx="292459" cy="412511"/>
          <a:chOff x="4501773" y="3772550"/>
          <a:chExt cx="303832" cy="48691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374671" y="4801978"/>
          <a:ext cx="292459" cy="707126"/>
          <a:chOff x="4479758" y="4496269"/>
          <a:chExt cx="301792" cy="780088"/>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374671" y="5664617"/>
          <a:ext cx="292459" cy="694017"/>
          <a:chOff x="4549825" y="5456617"/>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04576" y="5664619"/>
          <a:ext cx="292460" cy="709343"/>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04576" y="9031818"/>
          <a:ext cx="292460" cy="377586"/>
          <a:chOff x="5763126" y="8931886"/>
          <a:chExt cx="301792" cy="494784"/>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374671" y="6527261"/>
          <a:ext cx="292459" cy="633083"/>
          <a:chOff x="4549825" y="6438932"/>
          <a:chExt cx="308371" cy="779279"/>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372531" y="8148223"/>
          <a:ext cx="302942"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07347" y="4217358"/>
          <a:ext cx="292460"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05230" y="4798470"/>
          <a:ext cx="292460" cy="665520"/>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02490" y="6522595"/>
          <a:ext cx="292460"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08200" y="8147895"/>
          <a:ext cx="208237" cy="702497"/>
          <a:chOff x="5767616" y="8168772"/>
          <a:chExt cx="217582"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374671" y="8147170"/>
          <a:ext cx="301984"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04576" y="4217358"/>
          <a:ext cx="292460" cy="431321"/>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04576" y="4808419"/>
          <a:ext cx="292460" cy="688530"/>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04576" y="5664619"/>
          <a:ext cx="292460" cy="709343"/>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04576" y="6527261"/>
          <a:ext cx="292460"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0547"/>
              <a:ext cx="0" cy="0"/>
              <a:chOff x="-34414" y="1740547"/>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372642" y="7305715"/>
          <a:ext cx="227033" cy="717200"/>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372649" y="7302568"/>
          <a:ext cx="220607" cy="720273"/>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04576" y="8147170"/>
          <a:ext cx="301985"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374671" y="8147170"/>
              <a:ext cx="311509" cy="728393"/>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383352" y="8139623"/>
          <a:ext cx="187907" cy="759639"/>
          <a:chOff x="4538970" y="8166029"/>
          <a:chExt cx="208649" cy="749808"/>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12968" y="7292692"/>
          <a:ext cx="292462" cy="720984"/>
          <a:chOff x="5809589" y="7290602"/>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235326" y="499729"/>
          <a:ext cx="7907161" cy="320746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04576" y="4811503"/>
          <a:ext cx="292460" cy="681726"/>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04576" y="6527261"/>
          <a:ext cx="292460" cy="637456"/>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00000000-0008-0000-01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00000000-0008-0000-01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00000000-0008-0000-0100-000001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00000000-0008-0000-0100-000002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00000000-0008-0000-0100-000003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00000000-0008-0000-0100-000004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00000000-0008-0000-0100-000005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00000000-0008-0000-0100-000006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00000000-0008-0000-0100-000008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00000000-0008-0000-01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00000000-0008-0000-01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00000000-0008-0000-01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00000000-0008-0000-01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00000000-0008-0000-01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00000000-0008-0000-0100-00000E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00000000-0008-0000-01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00000000-0008-0000-01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00000000-0008-0000-01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00000000-0008-0000-01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00000000-0008-0000-0100-000013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00000000-0008-0000-0100-00001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00000000-0008-0000-01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00000000-0008-0000-0100-000016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38100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00000000-0008-0000-0100-000017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00000000-0008-0000-0100-000018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00000000-0008-0000-0100-000019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00000000-0008-0000-0100-00001A4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00000000-0008-0000-01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00000000-0008-0000-01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00000000-0008-0000-01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00000000-0008-0000-01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00000000-0008-0000-01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00000000-0008-0000-01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299"/>
          <a:chExt cx="301792" cy="780039"/>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610"/>
          <a:chExt cx="308371" cy="762893"/>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899"/>
          <a:chExt cx="301792" cy="494806"/>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35"/>
          <a:chExt cx="308371" cy="779259"/>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612" y="8168785"/>
          <a:chExt cx="217586" cy="792430"/>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8979" y="8166086"/>
          <a:chExt cx="208607" cy="749765"/>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01"/>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00000000-0008-0000-02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00000000-0008-0000-02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00000000-0008-0000-0200-00002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00000000-0008-0000-02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00000000-0008-0000-02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00000000-0008-0000-0200-00003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00000000-0008-0000-0200-00003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00000000-0008-0000-02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00000000-0008-0000-02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00000000-0008-0000-02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00000000-0008-0000-02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00000000-0008-0000-02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00000000-0008-0000-0200-00000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00000000-0008-0000-0200-000032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00000000-0008-0000-0200-000033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00000000-0008-0000-0200-00003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00000000-0008-0000-0200-00003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00000000-0008-0000-0200-00003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00000000-0008-0000-0200-00003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00000000-0008-0000-0200-00003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00000000-0008-0000-0200-00003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00000000-0008-0000-0200-00003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38100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00000000-0008-0000-0200-00003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00000000-0008-0000-0200-00003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00000000-0008-0000-0200-00003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00000000-0008-0000-0200-00003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00000000-0008-0000-0200-00003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00000000-0008-0000-0200-00004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00000000-0008-0000-0200-000041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00000000-0008-0000-0200-00004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00000000-0008-0000-0200-00004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00000000-0008-0000-0200-00004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00000000-0008-0000-0200-00004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00000000-0008-0000-0200-00004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00000000-0008-0000-0200-00004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00000000-0008-0000-0200-00004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00000000-0008-0000-0200-00004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00000000-0008-0000-0200-00004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00000000-0008-0000-0200-00004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00000000-0008-0000-0200-00004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00000000-0008-0000-0200-00004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00000000-0008-0000-0200-00004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00000000-0008-0000-0200-00004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00000000-0008-0000-0200-00005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00000000-0008-0000-0200-00005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00000000-0008-0000-0200-00005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00000000-0008-0000-0200-000053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00000000-0008-0000-0200-00005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00000000-0008-0000-0200-00005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299"/>
          <a:chExt cx="301792" cy="780039"/>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610"/>
          <a:chExt cx="308371" cy="762893"/>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899"/>
          <a:chExt cx="301792" cy="494806"/>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35"/>
          <a:chExt cx="308371" cy="779259"/>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612" y="8168785"/>
          <a:chExt cx="217586" cy="792430"/>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8979" y="8166086"/>
          <a:chExt cx="208607" cy="749765"/>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01"/>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00000000-0008-0000-03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00000000-0008-0000-03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00000000-0008-0000-03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00000000-0008-0000-03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00000000-0008-0000-03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00000000-0008-0000-03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00000000-0008-0000-03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00000000-0008-0000-03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00000000-0008-0000-03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00000000-0008-0000-03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00000000-0008-0000-03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00000000-0008-0000-03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00000000-0008-0000-0300-00000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00000000-0008-0000-0300-000032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00000000-0008-0000-0300-000033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00000000-0008-0000-0300-00003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00000000-0008-0000-0300-00003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00000000-0008-0000-0300-00003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00000000-0008-0000-0300-00003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00000000-0008-0000-0300-00003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00000000-0008-0000-0300-00003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00000000-0008-0000-0300-00003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00000000-0008-0000-0300-00003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00000000-0008-0000-0300-00003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00000000-0008-0000-0300-00003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00000000-0008-0000-0300-00003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00000000-0008-0000-0300-00003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00000000-0008-0000-0300-00004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00000000-0008-0000-0300-000041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00000000-0008-0000-0300-00004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00000000-0008-0000-0300-00004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00000000-0008-0000-0300-00004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00000000-0008-0000-0300-00004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00000000-0008-0000-0300-00004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00000000-0008-0000-0300-00004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00000000-0008-0000-0300-00004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00000000-0008-0000-0300-00004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00000000-0008-0000-0300-00004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00000000-0008-0000-0300-00004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00000000-0008-0000-0300-00004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00000000-0008-0000-0300-00004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00000000-0008-0000-0300-00004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00000000-0008-0000-0300-00004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00000000-0008-0000-0300-00005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00000000-0008-0000-0300-00005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00000000-0008-0000-0300-00005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00000000-0008-0000-0300-000053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00000000-0008-0000-0300-00005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00000000-0008-0000-0300-00005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299"/>
          <a:chExt cx="301792" cy="780039"/>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610"/>
          <a:chExt cx="308371" cy="762893"/>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899"/>
          <a:chExt cx="301792" cy="494806"/>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35"/>
          <a:chExt cx="308371" cy="779259"/>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612" y="8168785"/>
          <a:chExt cx="217586" cy="792430"/>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8979" y="8166086"/>
          <a:chExt cx="208607" cy="749765"/>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01"/>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00000000-0008-0000-04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00000000-0008-0000-04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00000000-0008-0000-04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00000000-0008-0000-04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00000000-0008-0000-04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00000000-0008-0000-04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00000000-0008-0000-04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00000000-0008-0000-04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00000000-0008-0000-04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00000000-0008-0000-04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00000000-0008-0000-04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00000000-0008-0000-04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00000000-0008-0000-0400-00000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00000000-0008-0000-0400-00003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00000000-0008-0000-0400-00003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00000000-0008-0000-0400-00003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00000000-0008-0000-04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00000000-0008-0000-04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00000000-0008-0000-04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00000000-0008-0000-0400-00003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00000000-0008-0000-0400-00003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00000000-0008-0000-0400-00003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00000000-0008-0000-0400-00003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00000000-0008-0000-0400-00003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00000000-0008-0000-0400-00003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00000000-0008-0000-0400-00003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00000000-0008-0000-0400-00003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00000000-0008-0000-0400-00004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00000000-0008-0000-0400-00004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00000000-0008-0000-04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00000000-0008-0000-0400-00004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00000000-0008-0000-04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00000000-0008-0000-04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00000000-0008-0000-04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00000000-0008-0000-04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00000000-0008-0000-04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00000000-0008-0000-04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00000000-0008-0000-0400-00004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00000000-0008-0000-0400-00004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00000000-0008-0000-0400-00004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00000000-0008-0000-0400-00004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00000000-0008-0000-0400-00004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00000000-0008-0000-0400-00004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00000000-0008-0000-0400-00005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00000000-0008-0000-0400-00005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00000000-0008-0000-0400-00005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00000000-0008-0000-0400-00005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00000000-0008-0000-0400-00005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00000000-0008-0000-0400-00005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299"/>
          <a:chExt cx="301792" cy="780039"/>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610"/>
          <a:chExt cx="308371" cy="762893"/>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899"/>
          <a:chExt cx="301792" cy="494806"/>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35"/>
          <a:chExt cx="308371" cy="779259"/>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612" y="8168785"/>
          <a:chExt cx="217586" cy="792430"/>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8979" y="8166086"/>
          <a:chExt cx="208607" cy="749765"/>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01"/>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00000000-0008-0000-05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00000000-0008-0000-05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00000000-0008-0000-05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00000000-0008-0000-05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00000000-0008-0000-05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00000000-0008-0000-05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00000000-0008-0000-05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00000000-0008-0000-05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00000000-0008-0000-05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00000000-0008-0000-05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00000000-0008-0000-05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00000000-0008-0000-05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00000000-0008-0000-0500-00000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00000000-0008-0000-0500-000032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00000000-0008-0000-0500-000033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00000000-0008-0000-0500-00003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00000000-0008-0000-0500-00003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00000000-0008-0000-0500-00003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00000000-0008-0000-0500-00003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00000000-0008-0000-0500-00003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00000000-0008-0000-0500-00003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00000000-0008-0000-0500-00003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00000000-0008-0000-0500-00003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00000000-0008-0000-0500-00003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00000000-0008-0000-0500-00003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00000000-0008-0000-0500-00003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00000000-0008-0000-0500-00003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00000000-0008-0000-0500-00004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00000000-0008-0000-0500-000041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00000000-0008-0000-0500-00004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00000000-0008-0000-0500-00004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00000000-0008-0000-0500-00004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00000000-0008-0000-0500-00004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00000000-0008-0000-0500-00004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00000000-0008-0000-0500-00004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00000000-0008-0000-0500-00004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00000000-0008-0000-0500-00004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00000000-0008-0000-0500-00004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00000000-0008-0000-0500-00004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00000000-0008-0000-0500-00004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00000000-0008-0000-0500-00004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00000000-0008-0000-0500-00004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00000000-0008-0000-0500-00004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00000000-0008-0000-0500-00005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00000000-0008-0000-0500-00005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00000000-0008-0000-0500-00005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00000000-0008-0000-0500-000053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00000000-0008-0000-0500-00005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00000000-0008-0000-0500-00005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299"/>
          <a:chExt cx="301792" cy="780039"/>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610"/>
          <a:chExt cx="308371" cy="762893"/>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899"/>
          <a:chExt cx="301792" cy="494806"/>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35"/>
          <a:chExt cx="308371" cy="779259"/>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612" y="8168785"/>
          <a:chExt cx="217586" cy="792430"/>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8979" y="8166086"/>
          <a:chExt cx="208607" cy="749765"/>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01"/>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00000000-0008-0000-06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00000000-0008-0000-06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00000000-0008-0000-06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00000000-0008-0000-06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00000000-0008-0000-06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00000000-0008-0000-06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00000000-0008-0000-06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00000000-0008-0000-06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00000000-0008-0000-06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00000000-0008-0000-06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00000000-0008-0000-06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00000000-0008-0000-06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00000000-0008-0000-0600-00000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00000000-0008-0000-0600-000032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00000000-0008-0000-0600-000033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00000000-0008-0000-0600-00003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00000000-0008-0000-0600-00003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00000000-0008-0000-0600-00003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00000000-0008-0000-0600-00003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00000000-0008-0000-0600-00003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00000000-0008-0000-0600-00003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00000000-0008-0000-0600-00003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00000000-0008-0000-0600-00003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00000000-0008-0000-0600-00003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00000000-0008-0000-0600-00003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00000000-0008-0000-0600-00003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00000000-0008-0000-0600-00003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00000000-0008-0000-0600-00004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00000000-0008-0000-0600-000041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00000000-0008-0000-0600-00004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00000000-0008-0000-0600-00004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00000000-0008-0000-0600-00004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00000000-0008-0000-0600-00004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00000000-0008-0000-0600-00004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00000000-0008-0000-0600-00004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00000000-0008-0000-0600-00004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00000000-0008-0000-0600-00004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00000000-0008-0000-0600-00004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00000000-0008-0000-0600-00004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00000000-0008-0000-0600-00004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00000000-0008-0000-0600-00004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00000000-0008-0000-0600-00004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00000000-0008-0000-0600-00004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00000000-0008-0000-0600-00005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00000000-0008-0000-0600-00005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00000000-0008-0000-0600-00005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00000000-0008-0000-0600-000053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00000000-0008-0000-0600-00005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00000000-0008-0000-0600-00005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299"/>
          <a:chExt cx="301792" cy="780039"/>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610"/>
          <a:chExt cx="308371" cy="762893"/>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899"/>
          <a:chExt cx="301792" cy="494806"/>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35"/>
          <a:chExt cx="308371" cy="779259"/>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612" y="8168785"/>
          <a:chExt cx="217586" cy="792430"/>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8979" y="8166086"/>
          <a:chExt cx="208607" cy="749765"/>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01"/>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00000000-0008-0000-07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00000000-0008-0000-07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00000000-0008-0000-07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00000000-0008-0000-07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00000000-0008-0000-07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00000000-0008-0000-07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00000000-0008-0000-07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00000000-0008-0000-07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00000000-0008-0000-07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00000000-0008-0000-07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00000000-0008-0000-07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00000000-0008-0000-07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9174" name="Group Box 13" hidden="1">
              <a:extLst>
                <a:ext uri="{63B3BB69-23CF-44E3-9099-C40C66FF867C}">
                  <a14:compatExt spid="_x0000_s89101"/>
                </a:ext>
                <a:ext uri="{FF2B5EF4-FFF2-40B4-BE49-F238E27FC236}">
                  <a16:creationId xmlns:a16="http://schemas.microsoft.com/office/drawing/2014/main" id="{00000000-0008-0000-0700-00005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9175" name="Group Box 14" hidden="1">
              <a:extLst>
                <a:ext uri="{63B3BB69-23CF-44E3-9099-C40C66FF867C}">
                  <a14:compatExt spid="_x0000_s89102"/>
                </a:ext>
                <a:ext uri="{FF2B5EF4-FFF2-40B4-BE49-F238E27FC236}">
                  <a16:creationId xmlns:a16="http://schemas.microsoft.com/office/drawing/2014/main" id="{00000000-0008-0000-0700-00005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9176" name="Group Box 15" hidden="1">
              <a:extLst>
                <a:ext uri="{63B3BB69-23CF-44E3-9099-C40C66FF867C}">
                  <a14:compatExt spid="_x0000_s89103"/>
                </a:ext>
                <a:ext uri="{FF2B5EF4-FFF2-40B4-BE49-F238E27FC236}">
                  <a16:creationId xmlns:a16="http://schemas.microsoft.com/office/drawing/2014/main" id="{00000000-0008-0000-0700-00005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9177" name="Group Box 16" hidden="1">
              <a:extLst>
                <a:ext uri="{63B3BB69-23CF-44E3-9099-C40C66FF867C}">
                  <a14:compatExt spid="_x0000_s89104"/>
                </a:ext>
                <a:ext uri="{FF2B5EF4-FFF2-40B4-BE49-F238E27FC236}">
                  <a16:creationId xmlns:a16="http://schemas.microsoft.com/office/drawing/2014/main" id="{00000000-0008-0000-0700-00005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9178" name="Option Button 17" hidden="1">
              <a:extLst>
                <a:ext uri="{63B3BB69-23CF-44E3-9099-C40C66FF867C}">
                  <a14:compatExt spid="_x0000_s89105"/>
                </a:ext>
                <a:ext uri="{FF2B5EF4-FFF2-40B4-BE49-F238E27FC236}">
                  <a16:creationId xmlns:a16="http://schemas.microsoft.com/office/drawing/2014/main" id="{00000000-0008-0000-0700-00005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9179" name="Option Button 18" hidden="1">
              <a:extLst>
                <a:ext uri="{63B3BB69-23CF-44E3-9099-C40C66FF867C}">
                  <a14:compatExt spid="_x0000_s89106"/>
                </a:ext>
                <a:ext uri="{FF2B5EF4-FFF2-40B4-BE49-F238E27FC236}">
                  <a16:creationId xmlns:a16="http://schemas.microsoft.com/office/drawing/2014/main" id="{00000000-0008-0000-0700-00005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9180" name="Option Button 19" hidden="1">
              <a:extLst>
                <a:ext uri="{63B3BB69-23CF-44E3-9099-C40C66FF867C}">
                  <a14:compatExt spid="_x0000_s89107"/>
                </a:ext>
                <a:ext uri="{FF2B5EF4-FFF2-40B4-BE49-F238E27FC236}">
                  <a16:creationId xmlns:a16="http://schemas.microsoft.com/office/drawing/2014/main" id="{00000000-0008-0000-0700-00005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9181" name="Group Box 20" hidden="1">
              <a:extLst>
                <a:ext uri="{63B3BB69-23CF-44E3-9099-C40C66FF867C}">
                  <a14:compatExt spid="_x0000_s89108"/>
                </a:ext>
                <a:ext uri="{FF2B5EF4-FFF2-40B4-BE49-F238E27FC236}">
                  <a16:creationId xmlns:a16="http://schemas.microsoft.com/office/drawing/2014/main" id="{00000000-0008-0000-0700-00005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9182" name="Group Box 21" hidden="1">
              <a:extLst>
                <a:ext uri="{63B3BB69-23CF-44E3-9099-C40C66FF867C}">
                  <a14:compatExt spid="_x0000_s89109"/>
                </a:ext>
                <a:ext uri="{FF2B5EF4-FFF2-40B4-BE49-F238E27FC236}">
                  <a16:creationId xmlns:a16="http://schemas.microsoft.com/office/drawing/2014/main" id="{00000000-0008-0000-0700-00005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9183" name="Group Box 22" hidden="1">
              <a:extLst>
                <a:ext uri="{63B3BB69-23CF-44E3-9099-C40C66FF867C}">
                  <a14:compatExt spid="_x0000_s89110"/>
                </a:ext>
                <a:ext uri="{FF2B5EF4-FFF2-40B4-BE49-F238E27FC236}">
                  <a16:creationId xmlns:a16="http://schemas.microsoft.com/office/drawing/2014/main" id="{00000000-0008-0000-0700-00005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9184" name="Group Box 23" hidden="1">
              <a:extLst>
                <a:ext uri="{63B3BB69-23CF-44E3-9099-C40C66FF867C}">
                  <a14:compatExt spid="_x0000_s89111"/>
                </a:ext>
                <a:ext uri="{FF2B5EF4-FFF2-40B4-BE49-F238E27FC236}">
                  <a16:creationId xmlns:a16="http://schemas.microsoft.com/office/drawing/2014/main" id="{00000000-0008-0000-0700-00006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9185" name="Group Box 24" hidden="1">
              <a:extLst>
                <a:ext uri="{63B3BB69-23CF-44E3-9099-C40C66FF867C}">
                  <a14:compatExt spid="_x0000_s89112"/>
                </a:ext>
                <a:ext uri="{FF2B5EF4-FFF2-40B4-BE49-F238E27FC236}">
                  <a16:creationId xmlns:a16="http://schemas.microsoft.com/office/drawing/2014/main" id="{00000000-0008-0000-0700-00006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9186" name="Group Box 25" hidden="1">
              <a:extLst>
                <a:ext uri="{63B3BB69-23CF-44E3-9099-C40C66FF867C}">
                  <a14:compatExt spid="_x0000_s89113"/>
                </a:ext>
                <a:ext uri="{FF2B5EF4-FFF2-40B4-BE49-F238E27FC236}">
                  <a16:creationId xmlns:a16="http://schemas.microsoft.com/office/drawing/2014/main" id="{00000000-0008-0000-0700-000062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9187" name="Group Box 26" hidden="1">
              <a:extLst>
                <a:ext uri="{63B3BB69-23CF-44E3-9099-C40C66FF867C}">
                  <a14:compatExt spid="_x0000_s89114"/>
                </a:ext>
                <a:ext uri="{FF2B5EF4-FFF2-40B4-BE49-F238E27FC236}">
                  <a16:creationId xmlns:a16="http://schemas.microsoft.com/office/drawing/2014/main" id="{00000000-0008-0000-0700-00006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9188" name="Group Box 27" hidden="1">
              <a:extLst>
                <a:ext uri="{63B3BB69-23CF-44E3-9099-C40C66FF867C}">
                  <a14:compatExt spid="_x0000_s89115"/>
                </a:ext>
                <a:ext uri="{FF2B5EF4-FFF2-40B4-BE49-F238E27FC236}">
                  <a16:creationId xmlns:a16="http://schemas.microsoft.com/office/drawing/2014/main" id="{00000000-0008-0000-0700-00006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00000000-0008-0000-0700-00004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00000000-0008-0000-0700-00004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00000000-0008-0000-0700-00004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00000000-0008-0000-0700-00004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00000000-0008-0000-0700-00004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00000000-0008-0000-0700-00004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00000000-0008-0000-0700-00004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00000000-0008-0000-0700-00004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00000000-0008-0000-0700-00004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00000000-0008-0000-0700-00004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00000000-0008-0000-0700-00004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00000000-0008-0000-0700-00004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00000000-0008-0000-0700-00004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00000000-0008-0000-0700-00004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00000000-0008-0000-0700-00004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00000000-0008-0000-0700-00004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00000000-0008-0000-0700-00005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00000000-0008-0000-0700-00005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00000000-0008-0000-0700-00005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00000000-0008-0000-0700-00005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00000000-0008-0000-0700-00005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00000000-0008-0000-0700-00005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299"/>
          <a:chExt cx="301792" cy="780039"/>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610"/>
          <a:chExt cx="308371" cy="762893"/>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899"/>
          <a:chExt cx="301792" cy="494806"/>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35"/>
          <a:chExt cx="308371" cy="779259"/>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612" y="8168785"/>
          <a:chExt cx="217586" cy="792430"/>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8979" y="8166086"/>
          <a:chExt cx="208607" cy="749765"/>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01"/>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00000000-0008-0000-08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00000000-0008-0000-08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00000000-0008-0000-08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00000000-0008-0000-08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00000000-0008-0000-08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00000000-0008-0000-08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00000000-0008-0000-08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00000000-0008-0000-08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00000000-0008-0000-08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00000000-0008-0000-08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00000000-0008-0000-08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00000000-0008-0000-08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00000000-0008-0000-0800-00000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00000000-0008-0000-0800-000032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00000000-0008-0000-0800-000033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00000000-0008-0000-0800-00003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00000000-0008-0000-0800-00003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00000000-0008-0000-0800-00003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00000000-0008-0000-0800-00003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00000000-0008-0000-0800-00003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00000000-0008-0000-0800-00003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00000000-0008-0000-0800-00003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00000000-0008-0000-0800-00003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00000000-0008-0000-0800-00003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00000000-0008-0000-0800-00003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00000000-0008-0000-0800-00003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00000000-0008-0000-0800-00003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00000000-0008-0000-0800-00004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00000000-0008-0000-0800-000041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00000000-0008-0000-0800-00004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00000000-0008-0000-0800-00004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00000000-0008-0000-0800-00004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00000000-0008-0000-0800-00004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00000000-0008-0000-0800-00004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00000000-0008-0000-0800-00004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00000000-0008-0000-0800-00004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00000000-0008-0000-0800-00004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00000000-0008-0000-0800-00004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00000000-0008-0000-0800-00004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00000000-0008-0000-0800-00004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00000000-0008-0000-0800-00004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00000000-0008-0000-0800-00004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00000000-0008-0000-0800-00004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00000000-0008-0000-0800-000050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00000000-0008-0000-0800-00005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00000000-0008-0000-0800-00005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00000000-0008-0000-0800-000053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00000000-0008-0000-0800-00005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00000000-0008-0000-0800-00005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
  <cols>
    <col min="1" max="1" width="2.08203125" style="1" customWidth="1"/>
    <col min="2" max="2" width="3.08203125" style="1" customWidth="1"/>
    <col min="3" max="7" width="2.58203125" style="1" customWidth="1"/>
    <col min="8" max="27" width="2.5" style="1" customWidth="1"/>
    <col min="28" max="28" width="3.5" style="1" customWidth="1"/>
    <col min="29" max="36" width="2.5" style="1" customWidth="1"/>
    <col min="37" max="37" width="2.83203125" style="1" customWidth="1"/>
    <col min="38" max="38" width="2.5" style="1" customWidth="1"/>
    <col min="39" max="39" width="6.83203125" style="1" customWidth="1"/>
    <col min="40" max="43" width="5.33203125" style="1" customWidth="1"/>
    <col min="44" max="44" width="7.33203125" style="1" customWidth="1"/>
    <col min="45" max="52" width="5.33203125" style="1" customWidth="1"/>
    <col min="53" max="55" width="5.5" style="1" customWidth="1"/>
    <col min="56" max="56" width="5.83203125" style="1" customWidth="1"/>
    <col min="57" max="57" width="6" style="1" customWidth="1"/>
    <col min="58" max="58" width="5.58203125" style="1" customWidth="1"/>
    <col min="59" max="67" width="4.08203125" style="1" customWidth="1"/>
    <col min="68" max="69" width="9" style="1"/>
    <col min="70" max="70" width="9" style="1" customWidth="1"/>
    <col min="71" max="16384" width="9" style="1"/>
  </cols>
  <sheetData>
    <row r="1" spans="1:39" ht="18.75" customHeight="1">
      <c r="A1" s="246"/>
      <c r="B1" s="247" t="s">
        <v>2375</v>
      </c>
      <c r="C1" s="169"/>
      <c r="D1" s="169"/>
      <c r="E1" s="169"/>
      <c r="F1" s="169"/>
      <c r="G1" s="169"/>
      <c r="H1" s="169"/>
      <c r="I1" s="169"/>
      <c r="J1" s="169"/>
      <c r="K1" s="169"/>
      <c r="L1" s="169"/>
      <c r="M1" s="169"/>
      <c r="N1" s="169"/>
      <c r="O1" s="169"/>
      <c r="P1" s="169"/>
      <c r="Q1" s="169"/>
      <c r="R1" s="169"/>
      <c r="S1" s="169"/>
      <c r="T1" s="169"/>
      <c r="U1" s="169"/>
      <c r="V1" s="169"/>
      <c r="W1" s="169"/>
      <c r="X1" s="169"/>
      <c r="Y1" s="169"/>
      <c r="Z1" s="515" t="s">
        <v>29</v>
      </c>
      <c r="AA1" s="515"/>
      <c r="AB1" s="515"/>
      <c r="AC1" s="515"/>
      <c r="AD1" s="516" t="s">
        <v>2266</v>
      </c>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30</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2165</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23</v>
      </c>
      <c r="C6" s="519"/>
      <c r="D6" s="519"/>
      <c r="E6" s="519"/>
      <c r="F6" s="519"/>
      <c r="G6" s="520"/>
      <c r="H6" s="521" t="s">
        <v>2376</v>
      </c>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22</v>
      </c>
      <c r="C7" s="524"/>
      <c r="D7" s="524"/>
      <c r="E7" s="524"/>
      <c r="F7" s="524"/>
      <c r="G7" s="525"/>
      <c r="H7" s="526" t="s">
        <v>2376</v>
      </c>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2166</v>
      </c>
      <c r="C8" s="550"/>
      <c r="D8" s="550"/>
      <c r="E8" s="550"/>
      <c r="F8" s="550"/>
      <c r="G8" s="551"/>
      <c r="H8" s="256" t="s">
        <v>2377</v>
      </c>
      <c r="I8" s="946">
        <v>100</v>
      </c>
      <c r="J8" s="946"/>
      <c r="K8" s="257" t="s">
        <v>2385</v>
      </c>
      <c r="L8" s="946">
        <v>1234</v>
      </c>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t="s">
        <v>2378</v>
      </c>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t="s">
        <v>2379</v>
      </c>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23</v>
      </c>
      <c r="C11" s="557"/>
      <c r="D11" s="557"/>
      <c r="E11" s="557"/>
      <c r="F11" s="557"/>
      <c r="G11" s="558"/>
      <c r="H11" s="521" t="s">
        <v>2380</v>
      </c>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2167</v>
      </c>
      <c r="C12" s="538"/>
      <c r="D12" s="538"/>
      <c r="E12" s="538"/>
      <c r="F12" s="538"/>
      <c r="G12" s="539"/>
      <c r="H12" s="540" t="s">
        <v>2381</v>
      </c>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2168</v>
      </c>
      <c r="C13" s="542"/>
      <c r="D13" s="542"/>
      <c r="E13" s="542"/>
      <c r="F13" s="542"/>
      <c r="G13" s="542"/>
      <c r="H13" s="543" t="s">
        <v>28</v>
      </c>
      <c r="I13" s="542"/>
      <c r="J13" s="542"/>
      <c r="K13" s="542"/>
      <c r="L13" s="544" t="s">
        <v>2382</v>
      </c>
      <c r="M13" s="545"/>
      <c r="N13" s="545"/>
      <c r="O13" s="545"/>
      <c r="P13" s="545"/>
      <c r="Q13" s="545"/>
      <c r="R13" s="545"/>
      <c r="S13" s="545"/>
      <c r="T13" s="545"/>
      <c r="U13" s="546"/>
      <c r="V13" s="547" t="s">
        <v>2383</v>
      </c>
      <c r="W13" s="548"/>
      <c r="X13" s="548"/>
      <c r="Y13" s="543"/>
      <c r="Z13" s="544" t="s">
        <v>2384</v>
      </c>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33</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34</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35</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37</v>
      </c>
      <c r="C18" s="951" t="s">
        <v>38</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13860620</v>
      </c>
      <c r="R18" s="953"/>
      <c r="S18" s="953"/>
      <c r="T18" s="953"/>
      <c r="U18" s="953"/>
      <c r="V18" s="954"/>
      <c r="W18" s="266" t="s">
        <v>2421</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39</v>
      </c>
      <c r="D19" s="563" t="s">
        <v>40</v>
      </c>
      <c r="E19" s="563"/>
      <c r="F19" s="563"/>
      <c r="G19" s="563"/>
      <c r="H19" s="563"/>
      <c r="I19" s="563"/>
      <c r="J19" s="563"/>
      <c r="K19" s="563"/>
      <c r="L19" s="563"/>
      <c r="M19" s="563"/>
      <c r="N19" s="563"/>
      <c r="O19" s="563"/>
      <c r="P19" s="564"/>
      <c r="Q19" s="952">
        <f>SUM('別紙様式6-2 事業所個票１:事業所個票10'!BI51)</f>
        <v>5292094</v>
      </c>
      <c r="R19" s="953"/>
      <c r="S19" s="953"/>
      <c r="T19" s="953"/>
      <c r="U19" s="953"/>
      <c r="V19" s="954"/>
      <c r="W19" s="266" t="s">
        <v>36</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41</v>
      </c>
      <c r="E20" s="563" t="s">
        <v>42</v>
      </c>
      <c r="F20" s="563"/>
      <c r="G20" s="563"/>
      <c r="H20" s="563"/>
      <c r="I20" s="563"/>
      <c r="J20" s="563"/>
      <c r="K20" s="563"/>
      <c r="L20" s="563"/>
      <c r="M20" s="563"/>
      <c r="N20" s="563"/>
      <c r="O20" s="563"/>
      <c r="P20" s="956"/>
      <c r="Q20" s="570">
        <v>2200000</v>
      </c>
      <c r="R20" s="571"/>
      <c r="S20" s="571"/>
      <c r="T20" s="571"/>
      <c r="U20" s="571"/>
      <c r="V20" s="572"/>
      <c r="W20" s="272" t="s">
        <v>36</v>
      </c>
      <c r="X20" s="169" t="s">
        <v>43</v>
      </c>
      <c r="Y20" s="273" t="str">
        <f>IF(Q20&gt;Q19,"×","")</f>
        <v/>
      </c>
      <c r="Z20" s="246"/>
      <c r="AA20" s="246"/>
      <c r="AB20" s="246"/>
      <c r="AC20" s="246"/>
      <c r="AD20" s="246"/>
      <c r="AE20" s="246"/>
      <c r="AF20" s="246"/>
      <c r="AG20" s="246"/>
      <c r="AH20" s="246"/>
      <c r="AI20" s="246"/>
      <c r="AJ20" s="246"/>
      <c r="AK20" s="246"/>
      <c r="AL20" s="246"/>
      <c r="AM20" s="948" t="s">
        <v>2226</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44</v>
      </c>
      <c r="C21" s="563" t="s">
        <v>2227</v>
      </c>
      <c r="D21" s="951"/>
      <c r="E21" s="951"/>
      <c r="F21" s="951"/>
      <c r="G21" s="951"/>
      <c r="H21" s="951"/>
      <c r="I21" s="951"/>
      <c r="J21" s="951"/>
      <c r="K21" s="951"/>
      <c r="L21" s="951"/>
      <c r="M21" s="951"/>
      <c r="N21" s="951"/>
      <c r="O21" s="951"/>
      <c r="P21" s="951"/>
      <c r="Q21" s="952">
        <f>Q18-Q20</f>
        <v>11660620</v>
      </c>
      <c r="R21" s="953"/>
      <c r="S21" s="953"/>
      <c r="T21" s="953"/>
      <c r="U21" s="953"/>
      <c r="V21" s="954"/>
      <c r="W21" s="275" t="s">
        <v>36</v>
      </c>
      <c r="X21" s="169" t="s">
        <v>43</v>
      </c>
      <c r="Y21" s="567" t="str">
        <f>IFERROR(IF(Q22&gt;=Q21,"○","×"),"")</f>
        <v>×</v>
      </c>
      <c r="Z21" s="246"/>
      <c r="AA21" s="246"/>
      <c r="AB21" s="246"/>
      <c r="AC21" s="246"/>
      <c r="AD21" s="246"/>
      <c r="AE21" s="246"/>
      <c r="AF21" s="246"/>
      <c r="AG21" s="246"/>
      <c r="AH21" s="246"/>
      <c r="AI21" s="246"/>
      <c r="AJ21" s="246"/>
      <c r="AK21" s="246"/>
      <c r="AL21" s="246"/>
      <c r="AM21" s="578" t="s">
        <v>2329</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45</v>
      </c>
      <c r="C22" s="563" t="s">
        <v>46</v>
      </c>
      <c r="D22" s="563"/>
      <c r="E22" s="563"/>
      <c r="F22" s="563"/>
      <c r="G22" s="563"/>
      <c r="H22" s="563"/>
      <c r="I22" s="563"/>
      <c r="J22" s="563"/>
      <c r="K22" s="563"/>
      <c r="L22" s="563"/>
      <c r="M22" s="563"/>
      <c r="N22" s="563"/>
      <c r="O22" s="563"/>
      <c r="P22" s="563"/>
      <c r="Q22" s="570">
        <v>11000000</v>
      </c>
      <c r="R22" s="571"/>
      <c r="S22" s="571"/>
      <c r="T22" s="571"/>
      <c r="U22" s="571"/>
      <c r="V22" s="572"/>
      <c r="W22" s="276" t="s">
        <v>36</v>
      </c>
      <c r="X22" s="169" t="s">
        <v>43</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47</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48</v>
      </c>
      <c r="C25" s="563" t="s">
        <v>2228</v>
      </c>
      <c r="D25" s="563"/>
      <c r="E25" s="563"/>
      <c r="F25" s="563"/>
      <c r="G25" s="563"/>
      <c r="H25" s="563"/>
      <c r="I25" s="563"/>
      <c r="J25" s="563"/>
      <c r="K25" s="563"/>
      <c r="L25" s="563"/>
      <c r="M25" s="563"/>
      <c r="N25" s="563"/>
      <c r="O25" s="563"/>
      <c r="P25" s="564"/>
      <c r="Q25" s="565">
        <f>Q19-Q20</f>
        <v>3092094</v>
      </c>
      <c r="R25" s="566"/>
      <c r="S25" s="566"/>
      <c r="T25" s="566"/>
      <c r="U25" s="566"/>
      <c r="V25" s="566"/>
      <c r="W25" s="266" t="s">
        <v>36</v>
      </c>
      <c r="X25" s="169" t="s">
        <v>43</v>
      </c>
      <c r="Y25" s="531" t="str">
        <f>IFERROR(IF(Q25&lt;=0,"",IF(Q26&gt;=Q25,"○","△")),"")</f>
        <v>△</v>
      </c>
      <c r="Z25" s="169" t="s">
        <v>43</v>
      </c>
      <c r="AA25" s="567" t="str">
        <f>IFERROR(IF(Y25="△",IF(Q28&gt;=Q25,"○","×"),""),"")</f>
        <v>○</v>
      </c>
      <c r="AB25" s="246"/>
      <c r="AC25" s="246"/>
      <c r="AD25" s="246"/>
      <c r="AE25" s="246"/>
      <c r="AF25" s="246"/>
      <c r="AG25" s="246"/>
      <c r="AH25" s="246"/>
      <c r="AI25" s="246"/>
      <c r="AJ25" s="246"/>
      <c r="AK25" s="246"/>
      <c r="AL25" s="246"/>
    </row>
    <row r="26" spans="1:55" ht="37.5" customHeight="1" thickBot="1">
      <c r="A26" s="246"/>
      <c r="B26" s="274" t="s">
        <v>49</v>
      </c>
      <c r="C26" s="563" t="s">
        <v>2330</v>
      </c>
      <c r="D26" s="563"/>
      <c r="E26" s="563"/>
      <c r="F26" s="563"/>
      <c r="G26" s="563"/>
      <c r="H26" s="563"/>
      <c r="I26" s="563"/>
      <c r="J26" s="563"/>
      <c r="K26" s="563"/>
      <c r="L26" s="563"/>
      <c r="M26" s="563"/>
      <c r="N26" s="563"/>
      <c r="O26" s="563"/>
      <c r="P26" s="564"/>
      <c r="Q26" s="570">
        <v>2300000</v>
      </c>
      <c r="R26" s="571"/>
      <c r="S26" s="571"/>
      <c r="T26" s="571"/>
      <c r="U26" s="571"/>
      <c r="V26" s="572"/>
      <c r="W26" s="266" t="s">
        <v>36</v>
      </c>
      <c r="X26" s="169" t="s">
        <v>43</v>
      </c>
      <c r="Y26" s="532"/>
      <c r="Z26" s="169"/>
      <c r="AA26" s="568"/>
      <c r="AB26" s="246"/>
      <c r="AC26" s="246"/>
      <c r="AD26" s="246"/>
      <c r="AE26" s="246"/>
      <c r="AF26" s="246"/>
      <c r="AG26" s="246"/>
      <c r="AH26" s="246"/>
      <c r="AI26" s="246"/>
      <c r="AJ26" s="246"/>
      <c r="AK26" s="246"/>
      <c r="AL26" s="246"/>
    </row>
    <row r="27" spans="1:55" ht="26.25" customHeight="1" thickBot="1">
      <c r="A27" s="246"/>
      <c r="B27" s="274" t="s">
        <v>50</v>
      </c>
      <c r="C27" s="563" t="s">
        <v>2229</v>
      </c>
      <c r="D27" s="563"/>
      <c r="E27" s="563"/>
      <c r="F27" s="563"/>
      <c r="G27" s="563"/>
      <c r="H27" s="563"/>
      <c r="I27" s="563"/>
      <c r="J27" s="563"/>
      <c r="K27" s="563"/>
      <c r="L27" s="563"/>
      <c r="M27" s="563"/>
      <c r="N27" s="563"/>
      <c r="O27" s="563"/>
      <c r="P27" s="564"/>
      <c r="Q27" s="570">
        <v>1600000</v>
      </c>
      <c r="R27" s="571"/>
      <c r="S27" s="571"/>
      <c r="T27" s="571"/>
      <c r="U27" s="571"/>
      <c r="V27" s="572"/>
      <c r="W27" s="266" t="s">
        <v>36</v>
      </c>
      <c r="X27" s="169"/>
      <c r="Y27" s="169"/>
      <c r="Z27" s="169"/>
      <c r="AA27" s="568"/>
      <c r="AB27" s="246"/>
      <c r="AC27" s="246"/>
      <c r="AD27" s="246"/>
      <c r="AE27" s="246"/>
      <c r="AF27" s="246"/>
      <c r="AG27" s="246"/>
      <c r="AH27" s="246"/>
      <c r="AI27" s="246"/>
      <c r="AJ27" s="246"/>
      <c r="AK27" s="246"/>
      <c r="AL27" s="246"/>
      <c r="AM27" s="582" t="s">
        <v>2331</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51</v>
      </c>
      <c r="C28" s="563" t="s">
        <v>2230</v>
      </c>
      <c r="D28" s="563"/>
      <c r="E28" s="563"/>
      <c r="F28" s="563"/>
      <c r="G28" s="563"/>
      <c r="H28" s="563"/>
      <c r="I28" s="563"/>
      <c r="J28" s="563"/>
      <c r="K28" s="563"/>
      <c r="L28" s="563"/>
      <c r="M28" s="563"/>
      <c r="N28" s="563"/>
      <c r="O28" s="563"/>
      <c r="P28" s="564"/>
      <c r="Q28" s="588">
        <f>Q26+Q27</f>
        <v>3900000</v>
      </c>
      <c r="R28" s="589"/>
      <c r="S28" s="589"/>
      <c r="T28" s="589"/>
      <c r="U28" s="589"/>
      <c r="V28" s="590"/>
      <c r="W28" s="266" t="s">
        <v>36</v>
      </c>
      <c r="X28" s="246"/>
      <c r="Y28" s="246"/>
      <c r="Z28" s="246" t="s">
        <v>43</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31</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32</v>
      </c>
      <c r="C31" s="573" t="s">
        <v>2395</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32</v>
      </c>
      <c r="C32" s="573" t="s">
        <v>2231</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32</v>
      </c>
      <c r="C33" s="573" t="s">
        <v>2232</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32</v>
      </c>
      <c r="C34" s="573" t="s">
        <v>2332</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2150</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t="b">
        <v>1</v>
      </c>
      <c r="BA36" s="283"/>
    </row>
    <row r="37" spans="1:55" ht="18.75" customHeight="1" thickBot="1">
      <c r="A37" s="246"/>
      <c r="B37" s="574" t="b">
        <v>1</v>
      </c>
      <c r="C37" s="575"/>
      <c r="D37" s="576" t="s">
        <v>52</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43</v>
      </c>
      <c r="AB37" s="273" t="str">
        <f>IFERROR(IF(AM36=TRUE,"○","×"),"")</f>
        <v>○</v>
      </c>
      <c r="AC37" s="169"/>
      <c r="AD37" s="169"/>
      <c r="AE37" s="169"/>
      <c r="AF37" s="169"/>
      <c r="AG37" s="169"/>
      <c r="AH37" s="169"/>
      <c r="AI37" s="169"/>
      <c r="AJ37" s="169"/>
      <c r="AK37" s="169"/>
      <c r="AL37" s="246"/>
      <c r="AM37" s="578" t="s">
        <v>53</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32</v>
      </c>
      <c r="C40" s="581" t="s">
        <v>2233</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32</v>
      </c>
      <c r="C41" s="581" t="s">
        <v>54</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55</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2333</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56</v>
      </c>
      <c r="C43" s="534"/>
      <c r="D43" s="534"/>
      <c r="E43" s="534"/>
      <c r="F43" s="534"/>
      <c r="G43" s="534"/>
      <c r="H43" s="534"/>
      <c r="I43" s="534"/>
      <c r="J43" s="534"/>
      <c r="K43" s="534"/>
      <c r="L43" s="534"/>
      <c r="M43" s="534"/>
      <c r="N43" s="603"/>
      <c r="O43" s="604" t="s">
        <v>57</v>
      </c>
      <c r="P43" s="605"/>
      <c r="Q43" s="606">
        <v>6</v>
      </c>
      <c r="R43" s="606"/>
      <c r="S43" s="286" t="s">
        <v>58</v>
      </c>
      <c r="T43" s="607">
        <v>6</v>
      </c>
      <c r="U43" s="608"/>
      <c r="V43" s="287" t="s">
        <v>59</v>
      </c>
      <c r="W43" s="609" t="s">
        <v>60</v>
      </c>
      <c r="X43" s="609"/>
      <c r="Y43" s="609" t="s">
        <v>57</v>
      </c>
      <c r="Z43" s="610"/>
      <c r="AA43" s="607">
        <v>7</v>
      </c>
      <c r="AB43" s="608"/>
      <c r="AC43" s="288" t="s">
        <v>58</v>
      </c>
      <c r="AD43" s="607">
        <v>5</v>
      </c>
      <c r="AE43" s="608"/>
      <c r="AF43" s="287" t="s">
        <v>59</v>
      </c>
      <c r="AG43" s="287" t="s">
        <v>61</v>
      </c>
      <c r="AH43" s="287">
        <f>IF(Q43&gt;=1,(AA43*12+AD43)-(Q43*12+T43)+1,"")</f>
        <v>12</v>
      </c>
      <c r="AI43" s="609" t="s">
        <v>62</v>
      </c>
      <c r="AJ43" s="609"/>
      <c r="AK43" s="289" t="s">
        <v>63</v>
      </c>
      <c r="AL43" s="246"/>
      <c r="AM43" s="278"/>
      <c r="BB43" s="283"/>
    </row>
    <row r="44" spans="1:55" s="255" customFormat="1" ht="25.5" customHeight="1" thickBot="1">
      <c r="A44" s="254"/>
      <c r="B44" s="591" t="s">
        <v>64</v>
      </c>
      <c r="C44" s="592"/>
      <c r="D44" s="592"/>
      <c r="E44" s="592"/>
      <c r="F44" s="290" t="b">
        <v>1</v>
      </c>
      <c r="G44" s="593" t="s">
        <v>65</v>
      </c>
      <c r="H44" s="594"/>
      <c r="I44" s="595"/>
      <c r="J44" s="291" t="b">
        <v>0</v>
      </c>
      <c r="K44" s="593" t="s">
        <v>66</v>
      </c>
      <c r="L44" s="594"/>
      <c r="M44" s="594"/>
      <c r="N44" s="594"/>
      <c r="O44" s="596"/>
      <c r="P44" s="292" t="b">
        <v>0</v>
      </c>
      <c r="Q44" s="597" t="s">
        <v>67</v>
      </c>
      <c r="R44" s="598"/>
      <c r="S44" s="598"/>
      <c r="T44" s="598"/>
      <c r="U44" s="598"/>
      <c r="V44" s="599"/>
      <c r="W44" s="292"/>
      <c r="X44" s="597" t="s">
        <v>68</v>
      </c>
      <c r="Y44" s="598"/>
      <c r="Z44" s="599"/>
      <c r="AA44" s="292" t="b">
        <v>1</v>
      </c>
      <c r="AB44" s="600" t="s">
        <v>69</v>
      </c>
      <c r="AC44" s="601"/>
      <c r="AD44" s="293" t="s">
        <v>8</v>
      </c>
      <c r="AE44" s="612"/>
      <c r="AF44" s="612"/>
      <c r="AG44" s="612"/>
      <c r="AH44" s="612"/>
      <c r="AI44" s="612"/>
      <c r="AJ44" s="613" t="s">
        <v>70</v>
      </c>
      <c r="AK44" s="614"/>
      <c r="AL44" s="254"/>
      <c r="AM44" s="602" t="s">
        <v>2151</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71</v>
      </c>
      <c r="C45" s="668"/>
      <c r="D45" s="668"/>
      <c r="E45" s="668"/>
      <c r="F45" s="294" t="s">
        <v>72</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2234</v>
      </c>
      <c r="H46" s="264"/>
      <c r="I46" s="264"/>
      <c r="J46" s="264"/>
      <c r="K46" s="264"/>
      <c r="L46" s="264"/>
      <c r="M46" s="301" t="b">
        <v>1</v>
      </c>
      <c r="N46" s="300" t="s">
        <v>2235</v>
      </c>
      <c r="O46" s="264"/>
      <c r="P46" s="264"/>
      <c r="Q46" s="297"/>
      <c r="R46" s="297"/>
      <c r="S46" s="300"/>
      <c r="T46" s="301" t="b">
        <v>1</v>
      </c>
      <c r="U46" s="300" t="s">
        <v>69</v>
      </c>
      <c r="V46" s="297"/>
      <c r="W46" s="264"/>
      <c r="X46" s="300" t="s">
        <v>73</v>
      </c>
      <c r="Y46" s="615"/>
      <c r="Z46" s="615"/>
      <c r="AA46" s="615"/>
      <c r="AB46" s="615"/>
      <c r="AC46" s="615"/>
      <c r="AD46" s="615"/>
      <c r="AE46" s="615"/>
      <c r="AF46" s="615"/>
      <c r="AG46" s="615"/>
      <c r="AH46" s="615"/>
      <c r="AI46" s="615"/>
      <c r="AJ46" s="615"/>
      <c r="AK46" s="302" t="s">
        <v>74</v>
      </c>
      <c r="AL46" s="254"/>
      <c r="AM46" s="582" t="s">
        <v>2151</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75</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t="s">
        <v>76</v>
      </c>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2236</v>
      </c>
      <c r="AR49" s="159" t="b">
        <v>0</v>
      </c>
      <c r="AS49" s="611" t="s">
        <v>2234</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2237</v>
      </c>
      <c r="AO50" s="611"/>
      <c r="AP50" s="611"/>
      <c r="AR50" s="159" t="b">
        <v>1</v>
      </c>
      <c r="AS50" s="611" t="s">
        <v>2235</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66</v>
      </c>
      <c r="AO51" s="611"/>
      <c r="AP51" s="611"/>
      <c r="AR51" s="159" t="b">
        <v>0</v>
      </c>
      <c r="AS51" s="611" t="s">
        <v>69</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1</v>
      </c>
      <c r="AN52" s="611" t="s">
        <v>67</v>
      </c>
      <c r="AO52" s="611"/>
      <c r="AP52" s="611"/>
      <c r="AR52" s="159" t="b">
        <v>1</v>
      </c>
      <c r="AS52" s="611" t="s">
        <v>2238</v>
      </c>
      <c r="AT52" s="611"/>
    </row>
    <row r="53" spans="1:59" s="255" customFormat="1" ht="18.75" customHeight="1">
      <c r="A53" s="254"/>
      <c r="B53" s="669"/>
      <c r="C53" s="670"/>
      <c r="D53" s="670"/>
      <c r="E53" s="670"/>
      <c r="F53" s="306" t="s">
        <v>77</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1</v>
      </c>
      <c r="AN53" s="611" t="s">
        <v>68</v>
      </c>
      <c r="AO53" s="611"/>
      <c r="AP53" s="611"/>
      <c r="AQ53" s="1"/>
      <c r="AR53" s="159" t="b">
        <v>0</v>
      </c>
      <c r="AS53" s="611" t="s">
        <v>83</v>
      </c>
      <c r="AT53" s="611"/>
      <c r="AV53" s="1"/>
      <c r="AW53" s="1"/>
      <c r="AX53" s="1"/>
      <c r="AY53" s="1"/>
      <c r="AZ53" s="1"/>
      <c r="BG53" s="1"/>
    </row>
    <row r="54" spans="1:59" ht="18.75" customHeight="1">
      <c r="A54" s="246"/>
      <c r="B54" s="671"/>
      <c r="C54" s="672"/>
      <c r="D54" s="672"/>
      <c r="E54" s="672"/>
      <c r="F54" s="308" t="s">
        <v>78</v>
      </c>
      <c r="G54" s="309"/>
      <c r="H54" s="309"/>
      <c r="I54" s="309"/>
      <c r="J54" s="309"/>
      <c r="K54" s="309"/>
      <c r="L54" s="309"/>
      <c r="M54" s="646" t="s">
        <v>79</v>
      </c>
      <c r="N54" s="647"/>
      <c r="O54" s="647"/>
      <c r="P54" s="647">
        <v>30</v>
      </c>
      <c r="Q54" s="647"/>
      <c r="R54" s="304" t="s">
        <v>80</v>
      </c>
      <c r="S54" s="647">
        <v>4</v>
      </c>
      <c r="T54" s="647"/>
      <c r="U54" s="304" t="s">
        <v>81</v>
      </c>
      <c r="V54" s="304" t="s">
        <v>73</v>
      </c>
      <c r="W54" s="310"/>
      <c r="X54" s="311" t="s">
        <v>82</v>
      </c>
      <c r="Y54" s="304"/>
      <c r="Z54" s="304"/>
      <c r="AA54" s="310"/>
      <c r="AB54" s="311" t="s">
        <v>83</v>
      </c>
      <c r="AC54" s="304"/>
      <c r="AD54" s="304" t="s">
        <v>74</v>
      </c>
      <c r="AE54" s="312"/>
      <c r="AF54" s="312"/>
      <c r="AG54" s="312"/>
      <c r="AH54" s="312"/>
      <c r="AI54" s="312"/>
      <c r="AJ54" s="312"/>
      <c r="AK54" s="313"/>
      <c r="AL54" s="254"/>
      <c r="AM54" s="159" t="b">
        <v>0</v>
      </c>
      <c r="AN54" s="611" t="s">
        <v>69</v>
      </c>
      <c r="AO54" s="611"/>
      <c r="AP54" s="611"/>
      <c r="AR54" s="159" t="b">
        <v>1</v>
      </c>
      <c r="AS54" s="611" t="s">
        <v>2239</v>
      </c>
      <c r="AT54" s="611"/>
    </row>
    <row r="55" spans="1:59" ht="24.75" customHeight="1">
      <c r="A55" s="246"/>
      <c r="B55" s="648" t="s">
        <v>84</v>
      </c>
      <c r="C55" s="649"/>
      <c r="D55" s="649"/>
      <c r="E55" s="650"/>
      <c r="F55" s="654"/>
      <c r="G55" s="656" t="s">
        <v>85</v>
      </c>
      <c r="H55" s="657"/>
      <c r="I55" s="658"/>
      <c r="J55" s="656" t="s">
        <v>86</v>
      </c>
      <c r="K55" s="657"/>
      <c r="L55" s="657"/>
      <c r="M55" s="662"/>
      <c r="N55" s="663" t="s">
        <v>2334</v>
      </c>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87</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2240</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37</v>
      </c>
      <c r="C60" s="632" t="s">
        <v>88</v>
      </c>
      <c r="D60" s="633"/>
      <c r="E60" s="633"/>
      <c r="F60" s="633"/>
      <c r="G60" s="633"/>
      <c r="H60" s="633"/>
      <c r="I60" s="633"/>
      <c r="J60" s="633"/>
      <c r="K60" s="633"/>
      <c r="L60" s="633"/>
      <c r="M60" s="633"/>
      <c r="N60" s="633"/>
      <c r="O60" s="633"/>
      <c r="P60" s="633"/>
      <c r="Q60" s="633"/>
      <c r="R60" s="633"/>
      <c r="S60" s="634"/>
      <c r="T60" s="635">
        <f>SUM('別紙様式6-2 事業所個票１:事業所個票10'!$BN$51)</f>
        <v>5302660</v>
      </c>
      <c r="U60" s="636"/>
      <c r="V60" s="636"/>
      <c r="W60" s="636"/>
      <c r="X60" s="636"/>
      <c r="Y60" s="637"/>
      <c r="Z60" s="275" t="s">
        <v>36</v>
      </c>
      <c r="AA60" s="264" t="s">
        <v>43</v>
      </c>
      <c r="AB60" s="638" t="str">
        <f>IFERROR(IF(T61&gt;=T60,"○","×"),"")</f>
        <v>×</v>
      </c>
      <c r="AC60" s="316"/>
      <c r="AD60" s="317"/>
      <c r="AE60" s="317"/>
      <c r="AF60" s="317"/>
      <c r="AG60" s="317"/>
      <c r="AH60" s="317"/>
      <c r="AI60" s="317"/>
      <c r="AJ60" s="317"/>
      <c r="AK60" s="317"/>
      <c r="AL60" s="246"/>
      <c r="AM60" s="582" t="s">
        <v>2241</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44</v>
      </c>
      <c r="C61" s="640" t="s">
        <v>89</v>
      </c>
      <c r="D61" s="641"/>
      <c r="E61" s="641"/>
      <c r="F61" s="641"/>
      <c r="G61" s="641"/>
      <c r="H61" s="641"/>
      <c r="I61" s="641"/>
      <c r="J61" s="641"/>
      <c r="K61" s="641"/>
      <c r="L61" s="641"/>
      <c r="M61" s="641"/>
      <c r="N61" s="641"/>
      <c r="O61" s="641"/>
      <c r="P61" s="641"/>
      <c r="Q61" s="641"/>
      <c r="R61" s="641"/>
      <c r="S61" s="642"/>
      <c r="T61" s="643">
        <v>5000000</v>
      </c>
      <c r="U61" s="644"/>
      <c r="V61" s="644"/>
      <c r="W61" s="644"/>
      <c r="X61" s="644"/>
      <c r="Y61" s="645"/>
      <c r="Z61" s="266" t="s">
        <v>36</v>
      </c>
      <c r="AA61" s="264" t="s">
        <v>43</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31</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32</v>
      </c>
      <c r="C64" s="581" t="s">
        <v>2335</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2336</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92</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36</v>
      </c>
      <c r="Z67" s="323" t="s">
        <v>43</v>
      </c>
      <c r="AA67" s="324"/>
      <c r="AB67" s="246"/>
      <c r="AC67" s="246"/>
      <c r="AD67" s="246"/>
      <c r="AE67" s="246"/>
      <c r="AF67" s="246"/>
      <c r="AG67" s="246" t="s">
        <v>43</v>
      </c>
      <c r="AH67" s="325" t="str">
        <f>IF(T68&lt;T67,"×","")</f>
        <v/>
      </c>
      <c r="AI67" s="246"/>
      <c r="AJ67" s="246"/>
      <c r="AK67" s="246"/>
      <c r="AL67" s="246"/>
      <c r="AM67" s="602" t="s">
        <v>2337</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2338</v>
      </c>
      <c r="C68" s="691"/>
      <c r="D68" s="691"/>
      <c r="E68" s="691"/>
      <c r="F68" s="691"/>
      <c r="G68" s="691"/>
      <c r="H68" s="691"/>
      <c r="I68" s="691"/>
      <c r="J68" s="691"/>
      <c r="K68" s="691"/>
      <c r="L68" s="691"/>
      <c r="M68" s="691"/>
      <c r="N68" s="691"/>
      <c r="O68" s="691"/>
      <c r="P68" s="691"/>
      <c r="Q68" s="691"/>
      <c r="R68" s="691"/>
      <c r="S68" s="691"/>
      <c r="T68" s="692">
        <v>530000</v>
      </c>
      <c r="U68" s="693"/>
      <c r="V68" s="693"/>
      <c r="W68" s="693"/>
      <c r="X68" s="694"/>
      <c r="Y68" s="326" t="s">
        <v>36</v>
      </c>
      <c r="Z68" s="246"/>
      <c r="AA68" s="327" t="s">
        <v>73</v>
      </c>
      <c r="AB68" s="695">
        <f>IFERROR(T69/T67*100,0)</f>
        <v>0</v>
      </c>
      <c r="AC68" s="696"/>
      <c r="AD68" s="697"/>
      <c r="AE68" s="328" t="s">
        <v>93</v>
      </c>
      <c r="AF68" s="328" t="s">
        <v>74</v>
      </c>
      <c r="AG68" s="246" t="s">
        <v>43</v>
      </c>
      <c r="AH68" s="273" t="str">
        <f>IF(T67=0,"",(IF(AB68&gt;=200/3,"○","×")))</f>
        <v/>
      </c>
      <c r="AI68" s="311"/>
      <c r="AJ68" s="311"/>
      <c r="AK68" s="311"/>
      <c r="AL68" s="246"/>
      <c r="AM68" s="602" t="s">
        <v>2339</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2340</v>
      </c>
      <c r="D69" s="673"/>
      <c r="E69" s="673"/>
      <c r="F69" s="673"/>
      <c r="G69" s="673"/>
      <c r="H69" s="673"/>
      <c r="I69" s="673"/>
      <c r="J69" s="673"/>
      <c r="K69" s="673"/>
      <c r="L69" s="673"/>
      <c r="M69" s="673"/>
      <c r="N69" s="673"/>
      <c r="O69" s="673"/>
      <c r="P69" s="673"/>
      <c r="Q69" s="673"/>
      <c r="R69" s="673"/>
      <c r="S69" s="673"/>
      <c r="T69" s="675">
        <v>400000</v>
      </c>
      <c r="U69" s="676"/>
      <c r="V69" s="676"/>
      <c r="W69" s="676"/>
      <c r="X69" s="677"/>
      <c r="Y69" s="330" t="s">
        <v>36</v>
      </c>
      <c r="Z69" s="331" t="s">
        <v>43</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73</v>
      </c>
      <c r="U70" s="678">
        <f>T69/10</f>
        <v>40000</v>
      </c>
      <c r="V70" s="678"/>
      <c r="W70" s="678"/>
      <c r="X70" s="99" t="s">
        <v>36</v>
      </c>
      <c r="Y70" s="3" t="s">
        <v>74</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94</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95</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90</v>
      </c>
      <c r="D74" s="681" t="s">
        <v>2341</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1</v>
      </c>
      <c r="AN74" s="611" t="s">
        <v>2242</v>
      </c>
      <c r="AO74" s="611"/>
      <c r="AP74" s="611"/>
      <c r="AQ74" s="339"/>
      <c r="AR74" s="340" t="str">
        <f>IF(SUM('別紙様式6-2 事業所個票１:事業所個票10'!CI3)&gt;=1,"該当","")</f>
        <v>該当</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2342</v>
      </c>
      <c r="F75" s="700"/>
      <c r="G75" s="700"/>
      <c r="H75" s="700"/>
      <c r="I75" s="700"/>
      <c r="J75" s="700"/>
      <c r="K75" s="700"/>
      <c r="L75" s="700"/>
      <c r="M75" s="700"/>
      <c r="N75" s="700"/>
      <c r="O75" s="700"/>
      <c r="P75" s="700"/>
      <c r="Q75" s="700"/>
      <c r="R75" s="700"/>
      <c r="S75" s="700"/>
      <c r="T75" s="700"/>
      <c r="U75" s="700"/>
      <c r="V75" s="700"/>
      <c r="W75" s="700"/>
      <c r="X75" s="576"/>
      <c r="Y75" s="169" t="s">
        <v>43</v>
      </c>
      <c r="Z75" s="273" t="str">
        <f>IF(AR74&lt;&gt;"該当","",IF(AM74=TRUE,"○","×"))</f>
        <v>○</v>
      </c>
      <c r="AA75" s="341"/>
      <c r="AB75" s="341"/>
      <c r="AC75" s="341"/>
      <c r="AD75" s="341"/>
      <c r="AE75" s="341"/>
      <c r="AF75" s="341"/>
      <c r="AG75" s="341"/>
      <c r="AH75" s="341"/>
      <c r="AI75" s="341"/>
      <c r="AJ75" s="341"/>
      <c r="AK75" s="341"/>
      <c r="AL75" s="341"/>
      <c r="AM75" s="602" t="s">
        <v>91</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
      <c r="A77" s="280"/>
      <c r="B77" s="280"/>
      <c r="C77" s="318" t="s">
        <v>2343</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90</v>
      </c>
      <c r="D78" s="581" t="s">
        <v>2344</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96</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231434</v>
      </c>
      <c r="V79" s="687"/>
      <c r="W79" s="687"/>
      <c r="X79" s="687"/>
      <c r="Y79" s="687"/>
      <c r="Z79" s="346" t="s">
        <v>36</v>
      </c>
      <c r="AA79" s="264" t="s">
        <v>43</v>
      </c>
      <c r="AB79" s="567" t="s">
        <v>2422</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97</v>
      </c>
      <c r="D80" s="703"/>
      <c r="E80" s="703"/>
      <c r="F80" s="703"/>
      <c r="G80" s="703"/>
      <c r="H80" s="703"/>
      <c r="I80" s="703"/>
      <c r="J80" s="703"/>
      <c r="K80" s="703"/>
      <c r="L80" s="703"/>
      <c r="M80" s="703"/>
      <c r="N80" s="703"/>
      <c r="O80" s="703"/>
      <c r="P80" s="703"/>
      <c r="Q80" s="703"/>
      <c r="R80" s="703"/>
      <c r="S80" s="703"/>
      <c r="T80" s="704"/>
      <c r="U80" s="686">
        <f>U81+U86</f>
        <v>336000</v>
      </c>
      <c r="V80" s="687"/>
      <c r="W80" s="687"/>
      <c r="X80" s="687"/>
      <c r="Y80" s="687"/>
      <c r="Z80" s="322" t="s">
        <v>36</v>
      </c>
      <c r="AA80" s="264" t="s">
        <v>43</v>
      </c>
      <c r="AB80" s="569"/>
      <c r="AC80" s="264"/>
      <c r="AD80" s="264"/>
      <c r="AE80" s="264"/>
      <c r="AF80" s="264"/>
      <c r="AG80" s="264"/>
      <c r="AH80" s="311"/>
      <c r="AI80" s="311"/>
      <c r="AJ80" s="311"/>
      <c r="AK80" s="311"/>
      <c r="AL80" s="311"/>
      <c r="AM80" s="347"/>
    </row>
    <row r="81" spans="1:55" ht="9.75" customHeight="1" thickBot="1">
      <c r="A81" s="246"/>
      <c r="B81" s="345"/>
      <c r="C81" s="719" t="s">
        <v>98</v>
      </c>
      <c r="D81" s="720"/>
      <c r="E81" s="723" t="s">
        <v>99</v>
      </c>
      <c r="F81" s="724"/>
      <c r="G81" s="724"/>
      <c r="H81" s="724"/>
      <c r="I81" s="724"/>
      <c r="J81" s="724"/>
      <c r="K81" s="724"/>
      <c r="L81" s="724"/>
      <c r="M81" s="724"/>
      <c r="N81" s="724"/>
      <c r="O81" s="724"/>
      <c r="P81" s="724"/>
      <c r="Q81" s="724"/>
      <c r="R81" s="724"/>
      <c r="S81" s="724"/>
      <c r="T81" s="725"/>
      <c r="U81" s="729">
        <v>186000</v>
      </c>
      <c r="V81" s="730"/>
      <c r="W81" s="730"/>
      <c r="X81" s="730"/>
      <c r="Y81" s="731"/>
      <c r="Z81" s="735" t="s">
        <v>36</v>
      </c>
      <c r="AA81" s="737" t="s">
        <v>43</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73</v>
      </c>
      <c r="AC82" s="705">
        <f>IFERROR(U83/U81*100,0)</f>
        <v>75.268817204301072</v>
      </c>
      <c r="AD82" s="706"/>
      <c r="AE82" s="707"/>
      <c r="AF82" s="711" t="s">
        <v>93</v>
      </c>
      <c r="AG82" s="711" t="s">
        <v>74</v>
      </c>
      <c r="AH82" s="712" t="s">
        <v>43</v>
      </c>
      <c r="AI82" s="567" t="s">
        <v>2422</v>
      </c>
      <c r="AJ82" s="311"/>
      <c r="AK82" s="246"/>
      <c r="AL82" s="311"/>
      <c r="AM82" s="713" t="s">
        <v>2345</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2346</v>
      </c>
      <c r="G83" s="740"/>
      <c r="H83" s="740"/>
      <c r="I83" s="740"/>
      <c r="J83" s="740"/>
      <c r="K83" s="740"/>
      <c r="L83" s="740"/>
      <c r="M83" s="740"/>
      <c r="N83" s="740"/>
      <c r="O83" s="740"/>
      <c r="P83" s="740"/>
      <c r="Q83" s="740"/>
      <c r="R83" s="740"/>
      <c r="S83" s="740"/>
      <c r="T83" s="740"/>
      <c r="U83" s="744">
        <v>140000</v>
      </c>
      <c r="V83" s="745"/>
      <c r="W83" s="745"/>
      <c r="X83" s="745"/>
      <c r="Y83" s="746"/>
      <c r="Z83" s="747" t="s">
        <v>36</v>
      </c>
      <c r="AA83" s="737" t="s">
        <v>43</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73</v>
      </c>
      <c r="V85" s="749">
        <f>U83/2</f>
        <v>70000</v>
      </c>
      <c r="W85" s="749"/>
      <c r="X85" s="749"/>
      <c r="Y85" s="100" t="s">
        <v>36</v>
      </c>
      <c r="Z85" s="3" t="s">
        <v>74</v>
      </c>
      <c r="AA85" s="101"/>
      <c r="AB85" s="332"/>
      <c r="AC85" s="332"/>
      <c r="AD85" s="333"/>
      <c r="AE85" s="750"/>
      <c r="AF85" s="750"/>
      <c r="AG85" s="328"/>
      <c r="AH85" s="246"/>
      <c r="AI85" s="337"/>
      <c r="AJ85" s="311"/>
      <c r="AK85" s="311"/>
      <c r="AL85" s="311"/>
      <c r="AM85" s="347"/>
    </row>
    <row r="86" spans="1:55" ht="9.75" customHeight="1" thickBot="1">
      <c r="A86" s="246"/>
      <c r="B86" s="345"/>
      <c r="C86" s="751" t="s">
        <v>100</v>
      </c>
      <c r="D86" s="752"/>
      <c r="E86" s="723" t="s">
        <v>101</v>
      </c>
      <c r="F86" s="724"/>
      <c r="G86" s="724"/>
      <c r="H86" s="724"/>
      <c r="I86" s="724"/>
      <c r="J86" s="724"/>
      <c r="K86" s="724"/>
      <c r="L86" s="724"/>
      <c r="M86" s="724"/>
      <c r="N86" s="724"/>
      <c r="O86" s="724"/>
      <c r="P86" s="724"/>
      <c r="Q86" s="724"/>
      <c r="R86" s="724"/>
      <c r="S86" s="724"/>
      <c r="T86" s="725"/>
      <c r="U86" s="729">
        <v>150000</v>
      </c>
      <c r="V86" s="730"/>
      <c r="W86" s="730"/>
      <c r="X86" s="730"/>
      <c r="Y86" s="731"/>
      <c r="Z86" s="754" t="s">
        <v>36</v>
      </c>
      <c r="AA86" s="737" t="s">
        <v>43</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73</v>
      </c>
      <c r="AC87" s="705">
        <f>IFERROR(U88/U86*100,0)</f>
        <v>83.333333333333343</v>
      </c>
      <c r="AD87" s="706"/>
      <c r="AE87" s="707"/>
      <c r="AF87" s="711" t="s">
        <v>93</v>
      </c>
      <c r="AG87" s="711" t="s">
        <v>74</v>
      </c>
      <c r="AH87" s="712" t="s">
        <v>43</v>
      </c>
      <c r="AI87" s="567" t="s">
        <v>2422</v>
      </c>
      <c r="AJ87" s="311"/>
      <c r="AK87" s="311"/>
      <c r="AL87" s="311"/>
      <c r="AM87" s="713" t="s">
        <v>2347</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2348</v>
      </c>
      <c r="G88" s="740"/>
      <c r="H88" s="740"/>
      <c r="I88" s="740"/>
      <c r="J88" s="740"/>
      <c r="K88" s="740"/>
      <c r="L88" s="740"/>
      <c r="M88" s="740"/>
      <c r="N88" s="740"/>
      <c r="O88" s="740"/>
      <c r="P88" s="740"/>
      <c r="Q88" s="740"/>
      <c r="R88" s="740"/>
      <c r="S88" s="740"/>
      <c r="T88" s="740"/>
      <c r="U88" s="744">
        <v>125000</v>
      </c>
      <c r="V88" s="745"/>
      <c r="W88" s="745"/>
      <c r="X88" s="745"/>
      <c r="Y88" s="746"/>
      <c r="Z88" s="756" t="s">
        <v>36</v>
      </c>
      <c r="AA88" s="737" t="s">
        <v>43</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73</v>
      </c>
      <c r="V90" s="678">
        <f>U88/2</f>
        <v>62500</v>
      </c>
      <c r="W90" s="678"/>
      <c r="X90" s="678"/>
      <c r="Y90" s="99" t="s">
        <v>36</v>
      </c>
      <c r="Z90" s="4" t="s">
        <v>74</v>
      </c>
      <c r="AA90" s="101"/>
      <c r="AB90" s="332"/>
      <c r="AC90" s="333"/>
      <c r="AD90" s="750"/>
      <c r="AE90" s="750"/>
      <c r="AF90" s="328"/>
      <c r="AG90" s="246"/>
      <c r="AH90" s="246"/>
      <c r="AI90" s="355"/>
      <c r="AJ90" s="311"/>
      <c r="AK90" s="311"/>
      <c r="AL90" s="311"/>
      <c r="AM90" s="347"/>
    </row>
    <row r="91" spans="1:55" ht="6.75" customHeight="1">
      <c r="A91" s="246"/>
      <c r="B91" s="314" t="s">
        <v>102</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103</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3.5" thickBot="1">
      <c r="A93" s="254"/>
      <c r="B93" s="318" t="s">
        <v>104</v>
      </c>
      <c r="C93" s="297"/>
      <c r="D93" s="297"/>
      <c r="E93" s="297"/>
      <c r="F93" s="297"/>
      <c r="G93" s="297"/>
      <c r="H93" s="297"/>
      <c r="I93" s="297"/>
      <c r="J93" s="297"/>
      <c r="K93" s="297"/>
      <c r="L93" s="297"/>
      <c r="M93" s="297"/>
      <c r="N93" s="297"/>
      <c r="O93" s="297"/>
      <c r="P93" s="297"/>
      <c r="Q93" s="297"/>
      <c r="R93" s="360" t="s">
        <v>90</v>
      </c>
      <c r="S93" s="361" t="s">
        <v>105</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該当</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5" thickBot="1">
      <c r="A95" s="254"/>
      <c r="B95" s="318" t="s">
        <v>106</v>
      </c>
      <c r="C95" s="364"/>
      <c r="D95" s="364"/>
      <c r="E95" s="364"/>
      <c r="F95" s="364"/>
      <c r="G95" s="364"/>
      <c r="H95" s="364"/>
      <c r="I95" s="364"/>
      <c r="J95" s="364"/>
      <c r="K95" s="364"/>
      <c r="L95" s="364"/>
      <c r="M95" s="364"/>
      <c r="N95" s="364"/>
      <c r="O95" s="364"/>
      <c r="P95" s="364"/>
      <c r="Q95" s="364"/>
      <c r="R95" s="360" t="s">
        <v>90</v>
      </c>
      <c r="S95" s="361" t="s">
        <v>107</v>
      </c>
      <c r="T95" s="254"/>
      <c r="U95" s="364"/>
      <c r="V95" s="364"/>
      <c r="W95" s="364"/>
      <c r="X95" s="364"/>
      <c r="Y95" s="364"/>
      <c r="Z95" s="364"/>
      <c r="AA95" s="364"/>
      <c r="AB95" s="364"/>
      <c r="AC95" s="364"/>
      <c r="AD95" s="364"/>
      <c r="AE95" s="364"/>
      <c r="AF95" s="364"/>
      <c r="AG95" s="364"/>
      <c r="AH95" s="364"/>
      <c r="AI95" s="768" t="str">
        <f>IF(SUM('別紙様式6-2 事業所個票１:事業所個票10'!CI4)=0,"該当","")</f>
        <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108</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109</v>
      </c>
      <c r="F98" s="613"/>
      <c r="G98" s="613"/>
      <c r="H98" s="613"/>
      <c r="I98" s="613"/>
      <c r="J98" s="613"/>
      <c r="K98" s="613"/>
      <c r="L98" s="613"/>
      <c r="M98" s="613"/>
      <c r="N98" s="613"/>
      <c r="O98" s="613"/>
      <c r="P98" s="613"/>
      <c r="Q98" s="613"/>
      <c r="R98" s="772"/>
      <c r="S98" s="367" t="s">
        <v>43</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2236</v>
      </c>
    </row>
    <row r="99" spans="1:55" s="255" customFormat="1" ht="16.5" customHeight="1">
      <c r="A99" s="254"/>
      <c r="B99" s="369"/>
      <c r="C99" s="370" t="s">
        <v>110</v>
      </c>
      <c r="D99" s="371" t="s">
        <v>111</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1</v>
      </c>
      <c r="AN99" s="611" t="s">
        <v>2242</v>
      </c>
      <c r="AO99" s="611"/>
      <c r="AP99" s="611"/>
    </row>
    <row r="100" spans="1:55" s="255" customFormat="1" ht="16.5" customHeight="1">
      <c r="A100" s="254"/>
      <c r="B100" s="369"/>
      <c r="C100" s="374" t="s">
        <v>112</v>
      </c>
      <c r="D100" s="375" t="s">
        <v>113</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2243</v>
      </c>
      <c r="AO100" s="611"/>
      <c r="AP100" s="611"/>
    </row>
    <row r="101" spans="1:55" s="255" customFormat="1" ht="16.5" customHeight="1">
      <c r="A101" s="254"/>
      <c r="B101" s="369"/>
      <c r="C101" s="380" t="s">
        <v>114</v>
      </c>
      <c r="D101" s="381" t="s">
        <v>115</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116</v>
      </c>
      <c r="D103" s="758"/>
      <c r="E103" s="758"/>
      <c r="F103" s="758"/>
      <c r="G103" s="758"/>
      <c r="H103" s="758"/>
      <c r="I103" s="758"/>
      <c r="J103" s="758"/>
      <c r="K103" s="758"/>
      <c r="L103" s="314"/>
      <c r="M103" s="759"/>
      <c r="N103" s="760"/>
      <c r="O103" s="761" t="s">
        <v>117</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
      </c>
      <c r="AL103" s="254"/>
      <c r="AM103" s="764" t="s">
        <v>2152</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118</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119</v>
      </c>
      <c r="F106" s="613"/>
      <c r="G106" s="613"/>
      <c r="H106" s="613"/>
      <c r="I106" s="613"/>
      <c r="J106" s="613"/>
      <c r="K106" s="613"/>
      <c r="L106" s="613"/>
      <c r="M106" s="613"/>
      <c r="N106" s="613"/>
      <c r="O106" s="613"/>
      <c r="P106" s="613"/>
      <c r="Q106" s="613"/>
      <c r="R106" s="772"/>
      <c r="S106" s="367" t="s">
        <v>43</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2236</v>
      </c>
    </row>
    <row r="107" spans="1:55" s="255" customFormat="1" ht="26.25" customHeight="1" thickBot="1">
      <c r="A107" s="254"/>
      <c r="B107" s="773"/>
      <c r="C107" s="370" t="s">
        <v>110</v>
      </c>
      <c r="D107" s="774" t="s">
        <v>120</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2242</v>
      </c>
      <c r="AO107" s="611"/>
      <c r="AP107" s="611"/>
      <c r="AQ107" s="1"/>
      <c r="AR107" s="159" t="b">
        <v>0</v>
      </c>
      <c r="AS107" s="611" t="s">
        <v>2244</v>
      </c>
      <c r="AT107" s="611"/>
      <c r="AU107" s="611"/>
    </row>
    <row r="108" spans="1:55" s="255" customFormat="1" ht="25.5" customHeight="1" thickBot="1">
      <c r="A108" s="254"/>
      <c r="B108" s="773"/>
      <c r="C108" s="791"/>
      <c r="D108" s="793" t="s">
        <v>121</v>
      </c>
      <c r="E108" s="794"/>
      <c r="F108" s="794"/>
      <c r="G108" s="794"/>
      <c r="H108" s="799"/>
      <c r="I108" s="801" t="s">
        <v>37</v>
      </c>
      <c r="J108" s="803" t="s">
        <v>122</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1</v>
      </c>
      <c r="AN108" s="611" t="s">
        <v>2243</v>
      </c>
      <c r="AO108" s="611"/>
      <c r="AP108" s="611"/>
      <c r="AQ108" s="391"/>
      <c r="AR108" s="159" t="b">
        <v>0</v>
      </c>
      <c r="AS108" s="611" t="s">
        <v>2245</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t="s">
        <v>2349</v>
      </c>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2350</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44</v>
      </c>
      <c r="J110" s="392" t="s">
        <v>123</v>
      </c>
      <c r="K110" s="393"/>
      <c r="L110" s="393"/>
      <c r="M110" s="393"/>
      <c r="N110" s="393"/>
      <c r="O110" s="393"/>
      <c r="P110" s="393"/>
      <c r="Q110" s="393"/>
      <c r="R110" s="393"/>
      <c r="S110" s="781" t="s">
        <v>124</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t="s">
        <v>2351</v>
      </c>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2352</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112</v>
      </c>
      <c r="D112" s="381" t="s">
        <v>125</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2353</v>
      </c>
      <c r="D114" s="758"/>
      <c r="E114" s="758"/>
      <c r="F114" s="758"/>
      <c r="G114" s="758"/>
      <c r="H114" s="758"/>
      <c r="I114" s="758"/>
      <c r="J114" s="758"/>
      <c r="K114" s="758"/>
      <c r="L114" s="314"/>
      <c r="M114" s="759"/>
      <c r="N114" s="760"/>
      <c r="O114" s="788" t="s">
        <v>126</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2153</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127</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該当</v>
      </c>
    </row>
    <row r="117" spans="1:55" s="255" customFormat="1" ht="17.25" customHeight="1" thickBot="1">
      <c r="A117" s="254"/>
      <c r="B117" s="401" t="s">
        <v>128</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2236</v>
      </c>
      <c r="AR117" s="159" t="b">
        <v>1</v>
      </c>
      <c r="AS117" s="611" t="s">
        <v>2244</v>
      </c>
      <c r="AT117" s="611"/>
      <c r="AU117" s="611"/>
    </row>
    <row r="118" spans="1:55" s="255" customFormat="1" ht="20.25" customHeight="1" thickBot="1">
      <c r="A118" s="254"/>
      <c r="B118" s="759"/>
      <c r="C118" s="760"/>
      <c r="D118" s="825" t="s">
        <v>119</v>
      </c>
      <c r="E118" s="825"/>
      <c r="F118" s="825"/>
      <c r="G118" s="825"/>
      <c r="H118" s="825"/>
      <c r="I118" s="825"/>
      <c r="J118" s="825"/>
      <c r="K118" s="825"/>
      <c r="L118" s="825"/>
      <c r="M118" s="825"/>
      <c r="N118" s="825"/>
      <c r="O118" s="825"/>
      <c r="P118" s="825"/>
      <c r="Q118" s="826"/>
      <c r="R118" s="404" t="s">
        <v>43</v>
      </c>
      <c r="S118" s="325" t="str">
        <f>IF(AM116="","",IF(AND(AM118=TRUE,OR(AR117=TRUE,AR118=TRUE,AR119=TRUE)),"○","×"))</f>
        <v>○</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1</v>
      </c>
      <c r="AN118" s="611" t="s">
        <v>2242</v>
      </c>
      <c r="AO118" s="611"/>
      <c r="AP118" s="611"/>
      <c r="AR118" s="159" t="b">
        <v>0</v>
      </c>
      <c r="AS118" s="611" t="s">
        <v>2245</v>
      </c>
      <c r="AT118" s="611"/>
      <c r="AU118" s="611"/>
    </row>
    <row r="119" spans="1:55" s="255" customFormat="1" ht="28.5" customHeight="1" thickBot="1">
      <c r="A119" s="254"/>
      <c r="B119" s="370" t="s">
        <v>110</v>
      </c>
      <c r="C119" s="827" t="s">
        <v>129</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2243</v>
      </c>
      <c r="AO119" s="611"/>
      <c r="AP119" s="611"/>
      <c r="AR119" s="159" t="b">
        <v>0</v>
      </c>
      <c r="AS119" s="611" t="s">
        <v>2246</v>
      </c>
      <c r="AT119" s="611"/>
      <c r="AU119" s="611"/>
    </row>
    <row r="120" spans="1:55" s="255" customFormat="1" ht="25.5" customHeight="1">
      <c r="A120" s="254"/>
      <c r="B120" s="791"/>
      <c r="C120" s="793" t="s">
        <v>130</v>
      </c>
      <c r="D120" s="794"/>
      <c r="E120" s="794"/>
      <c r="F120" s="794"/>
      <c r="G120" s="406"/>
      <c r="H120" s="407" t="s">
        <v>37</v>
      </c>
      <c r="I120" s="809" t="s">
        <v>131</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2354</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44</v>
      </c>
      <c r="I121" s="819" t="s">
        <v>132</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45</v>
      </c>
      <c r="I122" s="822" t="s">
        <v>133</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112</v>
      </c>
      <c r="C123" s="831" t="s">
        <v>125</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2355</v>
      </c>
      <c r="C125" s="833"/>
      <c r="D125" s="833"/>
      <c r="E125" s="833"/>
      <c r="F125" s="833"/>
      <c r="G125" s="833"/>
      <c r="H125" s="833"/>
      <c r="I125" s="833"/>
      <c r="J125" s="833"/>
      <c r="K125" s="833"/>
      <c r="L125" s="314"/>
      <c r="M125" s="759"/>
      <c r="N125" s="760"/>
      <c r="O125" s="834" t="s">
        <v>134</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2154</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135</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136</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137</v>
      </c>
      <c r="C129" s="534"/>
      <c r="D129" s="534"/>
      <c r="E129" s="534"/>
      <c r="F129" s="534"/>
      <c r="G129" s="534"/>
      <c r="H129" s="534"/>
      <c r="I129" s="534"/>
      <c r="J129" s="534"/>
      <c r="K129" s="534"/>
      <c r="L129" s="528" t="s">
        <v>2370</v>
      </c>
      <c r="M129" s="528"/>
      <c r="N129" s="528"/>
      <c r="O129" s="528"/>
      <c r="P129" s="528"/>
      <c r="Q129" s="528"/>
      <c r="R129" s="528"/>
      <c r="S129" s="528"/>
      <c r="T129" s="528"/>
      <c r="U129" s="528"/>
      <c r="V129" s="528"/>
      <c r="W129" s="528"/>
      <c r="X129" s="528"/>
      <c r="Y129" s="528"/>
      <c r="Z129" s="528"/>
      <c r="AA129" s="529"/>
      <c r="AB129" s="415">
        <f>SUM('別紙様式6-2 事業所個票１:事業所個票10'!AG37)</f>
        <v>3</v>
      </c>
      <c r="AC129" s="530" t="s">
        <v>2372</v>
      </c>
      <c r="AD129" s="531" t="str">
        <f>IF(AB130=0,"",IF(AB129&gt;=AB130,"○","×"))</f>
        <v>○</v>
      </c>
      <c r="AE129" s="246"/>
      <c r="AF129" s="246"/>
      <c r="AG129" s="246"/>
      <c r="AH129" s="246"/>
      <c r="AI129" s="246"/>
      <c r="AJ129" s="246"/>
      <c r="AK129" s="246"/>
      <c r="AL129" s="246"/>
      <c r="AM129" s="416" t="str">
        <f>IF(OR(AD129="×",AD131="×"),"×","")</f>
        <v>×</v>
      </c>
    </row>
    <row r="130" spans="1:56" ht="24.75" customHeight="1" thickBot="1">
      <c r="A130" s="246"/>
      <c r="B130" s="535"/>
      <c r="C130" s="536"/>
      <c r="D130" s="536"/>
      <c r="E130" s="536"/>
      <c r="F130" s="536"/>
      <c r="G130" s="536"/>
      <c r="H130" s="536"/>
      <c r="I130" s="536"/>
      <c r="J130" s="536"/>
      <c r="K130" s="536"/>
      <c r="L130" s="528" t="s">
        <v>2371</v>
      </c>
      <c r="M130" s="528"/>
      <c r="N130" s="528"/>
      <c r="O130" s="528"/>
      <c r="P130" s="528"/>
      <c r="Q130" s="528"/>
      <c r="R130" s="528"/>
      <c r="S130" s="528"/>
      <c r="T130" s="528"/>
      <c r="U130" s="528"/>
      <c r="V130" s="528"/>
      <c r="W130" s="528"/>
      <c r="X130" s="528"/>
      <c r="Y130" s="528"/>
      <c r="Z130" s="528"/>
      <c r="AA130" s="529"/>
      <c r="AB130" s="415">
        <f>SUM('別紙様式6-2 事業所個票１:事業所個票10'!CI6)</f>
        <v>3</v>
      </c>
      <c r="AC130" s="530"/>
      <c r="AD130" s="532"/>
      <c r="AE130" s="246"/>
      <c r="AF130" s="246"/>
      <c r="AG130" s="246"/>
      <c r="AH130" s="246"/>
      <c r="AI130" s="246"/>
      <c r="AJ130" s="246"/>
      <c r="AK130" s="246"/>
      <c r="AL130" s="246"/>
    </row>
    <row r="131" spans="1:56" ht="24.75" customHeight="1" thickBot="1">
      <c r="A131" s="246"/>
      <c r="B131" s="836" t="s">
        <v>2356</v>
      </c>
      <c r="C131" s="828"/>
      <c r="D131" s="828"/>
      <c r="E131" s="828"/>
      <c r="F131" s="828"/>
      <c r="G131" s="828"/>
      <c r="H131" s="828"/>
      <c r="I131" s="828"/>
      <c r="J131" s="828"/>
      <c r="K131" s="828"/>
      <c r="L131" s="528" t="s">
        <v>2370</v>
      </c>
      <c r="M131" s="528"/>
      <c r="N131" s="528"/>
      <c r="O131" s="528"/>
      <c r="P131" s="528"/>
      <c r="Q131" s="528"/>
      <c r="R131" s="528"/>
      <c r="S131" s="528"/>
      <c r="T131" s="528"/>
      <c r="U131" s="528"/>
      <c r="V131" s="528"/>
      <c r="W131" s="528"/>
      <c r="X131" s="528"/>
      <c r="Y131" s="528"/>
      <c r="Z131" s="528"/>
      <c r="AA131" s="529"/>
      <c r="AB131" s="415">
        <f>SUM('別紙様式6-2 事業所個票１:事業所個票10'!AO37)</f>
        <v>2</v>
      </c>
      <c r="AC131" s="530" t="s">
        <v>2372</v>
      </c>
      <c r="AD131" s="531" t="str">
        <f>IF(AB132=0,"",IF(AB131&gt;=AB132,"○","×"))</f>
        <v>×</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2371</v>
      </c>
      <c r="M132" s="528"/>
      <c r="N132" s="528"/>
      <c r="O132" s="528"/>
      <c r="P132" s="528"/>
      <c r="Q132" s="528"/>
      <c r="R132" s="528"/>
      <c r="S132" s="528"/>
      <c r="T132" s="528"/>
      <c r="U132" s="528"/>
      <c r="V132" s="528"/>
      <c r="W132" s="528"/>
      <c r="X132" s="528"/>
      <c r="Y132" s="528"/>
      <c r="Z132" s="528"/>
      <c r="AA132" s="529"/>
      <c r="AB132" s="415">
        <f>SUM('別紙様式6-2 事業所個票１:事業所個票10'!CI6)</f>
        <v>3</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5" thickBot="1">
      <c r="A134" s="246"/>
      <c r="B134" s="419" t="s">
        <v>138</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v>
      </c>
      <c r="AL134" s="246"/>
      <c r="AM134" s="602" t="s">
        <v>2357</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139</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2358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2359</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1</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140</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1</v>
      </c>
      <c r="AN138" s="428"/>
      <c r="AO138" s="428"/>
      <c r="AP138" s="428"/>
      <c r="AS138" s="429"/>
      <c r="AT138" s="429"/>
    </row>
    <row r="139" spans="1:56" s="255" customFormat="1" ht="18" customHeight="1" thickBot="1">
      <c r="A139" s="254"/>
      <c r="B139" s="434"/>
      <c r="C139" s="435"/>
      <c r="D139" s="436" t="s">
        <v>141</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74</v>
      </c>
      <c r="AL139" s="254"/>
      <c r="AM139" s="159" t="b">
        <v>0</v>
      </c>
      <c r="AN139" s="764" t="s">
        <v>2360</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142</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3.5" thickBot="1">
      <c r="A142" s="246"/>
      <c r="B142" s="369" t="s">
        <v>2361</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143</v>
      </c>
      <c r="C143" s="703"/>
      <c r="D143" s="703"/>
      <c r="E143" s="703"/>
      <c r="F143" s="703"/>
      <c r="G143" s="703"/>
      <c r="H143" s="703"/>
      <c r="I143" s="703"/>
      <c r="J143" s="703"/>
      <c r="K143" s="703"/>
      <c r="L143" s="703"/>
      <c r="M143" s="703"/>
      <c r="N143" s="703"/>
      <c r="O143" s="703"/>
      <c r="P143" s="703"/>
      <c r="Q143" s="704"/>
      <c r="R143" s="442" t="s">
        <v>90</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2373</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144</v>
      </c>
      <c r="C144" s="684"/>
      <c r="D144" s="684"/>
      <c r="E144" s="684"/>
      <c r="F144" s="684"/>
      <c r="G144" s="684"/>
      <c r="H144" s="684"/>
      <c r="I144" s="684"/>
      <c r="J144" s="684"/>
      <c r="K144" s="684"/>
      <c r="L144" s="684"/>
      <c r="M144" s="684"/>
      <c r="N144" s="684"/>
      <c r="O144" s="684"/>
      <c r="P144" s="684"/>
      <c r="Q144" s="685"/>
      <c r="R144" s="442" t="s">
        <v>90</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2374</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145</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146</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
      </c>
      <c r="AJ147" s="842"/>
      <c r="AK147" s="843"/>
      <c r="AL147" s="254"/>
    </row>
    <row r="148" spans="1:55" s="255" customFormat="1" ht="28.5" customHeight="1">
      <c r="A148" s="254"/>
      <c r="B148" s="344" t="s">
        <v>90</v>
      </c>
      <c r="C148" s="855" t="s">
        <v>147</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148</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該当</v>
      </c>
      <c r="AJ150" s="842"/>
      <c r="AK150" s="843"/>
      <c r="AL150" s="254"/>
    </row>
    <row r="151" spans="1:55" s="255" customFormat="1" ht="39" customHeight="1">
      <c r="A151" s="254"/>
      <c r="B151" s="344" t="s">
        <v>90</v>
      </c>
      <c r="C151" s="855" t="s">
        <v>149</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150</v>
      </c>
      <c r="C153" s="857"/>
      <c r="D153" s="857"/>
      <c r="E153" s="858"/>
      <c r="F153" s="859" t="s">
        <v>151</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2247</v>
      </c>
      <c r="AN153" s="602" t="s">
        <v>2155</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152</v>
      </c>
      <c r="C154" s="828"/>
      <c r="D154" s="828"/>
      <c r="E154" s="847"/>
      <c r="F154" s="449"/>
      <c r="G154" s="851" t="s">
        <v>153</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154</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2156</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155</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156</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1</v>
      </c>
    </row>
    <row r="158" spans="1:55" s="255" customFormat="1" ht="24.75" customHeight="1" thickBot="1">
      <c r="A158" s="254"/>
      <c r="B158" s="836" t="s">
        <v>157</v>
      </c>
      <c r="C158" s="828"/>
      <c r="D158" s="828"/>
      <c r="E158" s="847"/>
      <c r="F158" s="454"/>
      <c r="G158" s="862" t="s">
        <v>158</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159</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2156</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160</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161</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1</v>
      </c>
    </row>
    <row r="162" spans="1:55" s="255" customFormat="1" ht="13.5" customHeight="1" thickBot="1">
      <c r="A162" s="254"/>
      <c r="B162" s="836" t="s">
        <v>162</v>
      </c>
      <c r="C162" s="828"/>
      <c r="D162" s="828"/>
      <c r="E162" s="847"/>
      <c r="F162" s="458"/>
      <c r="G162" s="862" t="s">
        <v>163</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164</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2156</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165</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1</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166</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1</v>
      </c>
    </row>
    <row r="166" spans="1:55" s="255" customFormat="1" ht="21" customHeight="1" thickBot="1">
      <c r="A166" s="254"/>
      <c r="B166" s="836" t="s">
        <v>167</v>
      </c>
      <c r="C166" s="828"/>
      <c r="D166" s="828"/>
      <c r="E166" s="847"/>
      <c r="F166" s="454"/>
      <c r="G166" s="868" t="s">
        <v>168</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169</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2156</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170</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1</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171</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1</v>
      </c>
    </row>
    <row r="170" spans="1:55" s="255" customFormat="1" ht="13.5" customHeight="1" thickBot="1">
      <c r="A170" s="254"/>
      <c r="B170" s="836" t="s">
        <v>172</v>
      </c>
      <c r="C170" s="828"/>
      <c r="D170" s="828"/>
      <c r="E170" s="847"/>
      <c r="F170" s="458"/>
      <c r="G170" s="866" t="s">
        <v>173</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174</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1</v>
      </c>
      <c r="AN171" s="582" t="s">
        <v>2156</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175</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176</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177</v>
      </c>
      <c r="C174" s="828"/>
      <c r="D174" s="828"/>
      <c r="E174" s="847"/>
      <c r="F174" s="458"/>
      <c r="G174" s="866" t="s">
        <v>178</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179</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2156</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180</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181</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1</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182</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32</v>
      </c>
      <c r="C180" s="300" t="s">
        <v>183</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v>
      </c>
      <c r="AL180" s="246"/>
    </row>
    <row r="181" spans="1:59" s="465" customFormat="1" ht="25.5" customHeight="1">
      <c r="A181" s="461"/>
      <c r="B181" s="891" t="s">
        <v>185</v>
      </c>
      <c r="C181" s="892"/>
      <c r="D181" s="892"/>
      <c r="E181" s="893" t="b">
        <v>0</v>
      </c>
      <c r="F181" s="449"/>
      <c r="G181" s="879" t="s">
        <v>2248</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1</v>
      </c>
      <c r="AN181" s="582" t="s">
        <v>184</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2249</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186</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4.5" thickBot="1">
      <c r="A185" s="254"/>
      <c r="B185" s="304" t="s">
        <v>32</v>
      </c>
      <c r="C185" s="300" t="s">
        <v>187</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188</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189</v>
      </c>
      <c r="AF186" s="875"/>
      <c r="AG186" s="875"/>
      <c r="AH186" s="875"/>
      <c r="AI186" s="875"/>
      <c r="AJ186" s="876"/>
      <c r="AK186" s="447" t="str">
        <f>IF(AND(AM187=TRUE,OR(Q20=0,AM188=TRUE),AM189=TRUE,AM190=TRUE,AM191=TRUE,AM192=TRUE),"○","×")</f>
        <v>○</v>
      </c>
      <c r="AL186" s="246"/>
      <c r="AM186" s="602" t="s">
        <v>2157</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190</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192</v>
      </c>
      <c r="AF187" s="882"/>
      <c r="AG187" s="882"/>
      <c r="AH187" s="882"/>
      <c r="AI187" s="882"/>
      <c r="AJ187" s="882"/>
      <c r="AK187" s="883"/>
      <c r="AL187" s="246"/>
      <c r="AM187" s="160" t="b">
        <v>1</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191</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192</v>
      </c>
      <c r="AF188" s="887"/>
      <c r="AG188" s="887"/>
      <c r="AH188" s="887"/>
      <c r="AI188" s="887"/>
      <c r="AJ188" s="887"/>
      <c r="AK188" s="888"/>
      <c r="AL188" s="246"/>
      <c r="AM188" s="159" t="b">
        <v>1</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193</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194</v>
      </c>
      <c r="AF189" s="887"/>
      <c r="AG189" s="887"/>
      <c r="AH189" s="887"/>
      <c r="AI189" s="887"/>
      <c r="AJ189" s="887"/>
      <c r="AK189" s="888"/>
      <c r="AL189" s="246"/>
      <c r="AM189" s="159" t="b">
        <v>1</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195</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196</v>
      </c>
      <c r="AF190" s="905"/>
      <c r="AG190" s="905"/>
      <c r="AH190" s="905"/>
      <c r="AI190" s="905"/>
      <c r="AJ190" s="905"/>
      <c r="AK190" s="906"/>
      <c r="AL190" s="246"/>
      <c r="AM190" s="159" t="b">
        <v>1</v>
      </c>
    </row>
    <row r="191" spans="1:59" s="255" customFormat="1" ht="23.25" customHeight="1">
      <c r="A191" s="254"/>
      <c r="B191" s="458"/>
      <c r="C191" s="889" t="s">
        <v>197</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198</v>
      </c>
      <c r="AF191" s="887"/>
      <c r="AG191" s="887"/>
      <c r="AH191" s="887"/>
      <c r="AI191" s="887"/>
      <c r="AJ191" s="887"/>
      <c r="AK191" s="888"/>
      <c r="AL191" s="246"/>
      <c r="AM191" s="159" t="b">
        <v>1</v>
      </c>
      <c r="AN191" s="472"/>
      <c r="AO191" s="472"/>
      <c r="AP191" s="472"/>
    </row>
    <row r="192" spans="1:59" s="255" customFormat="1" ht="13.5" customHeight="1" thickBot="1">
      <c r="A192" s="254"/>
      <c r="B192" s="462"/>
      <c r="C192" s="907" t="s">
        <v>199</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200</v>
      </c>
      <c r="AF192" s="910"/>
      <c r="AG192" s="910"/>
      <c r="AH192" s="910"/>
      <c r="AI192" s="910"/>
      <c r="AJ192" s="910"/>
      <c r="AK192" s="911"/>
      <c r="AL192" s="246"/>
      <c r="AM192" s="159" t="b">
        <v>1</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201</v>
      </c>
      <c r="C194" s="474" t="s">
        <v>202</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201</v>
      </c>
      <c r="C195" s="898" t="s">
        <v>2250</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203</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57</v>
      </c>
      <c r="D200" s="483"/>
      <c r="E200" s="900">
        <v>6</v>
      </c>
      <c r="F200" s="901"/>
      <c r="G200" s="483" t="s">
        <v>80</v>
      </c>
      <c r="H200" s="900" t="s">
        <v>204</v>
      </c>
      <c r="I200" s="901"/>
      <c r="J200" s="483" t="s">
        <v>205</v>
      </c>
      <c r="K200" s="900" t="s">
        <v>204</v>
      </c>
      <c r="L200" s="901"/>
      <c r="M200" s="483" t="s">
        <v>206</v>
      </c>
      <c r="N200" s="471"/>
      <c r="O200" s="902" t="s">
        <v>22</v>
      </c>
      <c r="P200" s="902"/>
      <c r="Q200" s="902"/>
      <c r="R200" s="903" t="str">
        <f>IF(H7="","",H7)</f>
        <v>○○ケアサービス</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207</v>
      </c>
      <c r="P201" s="924"/>
      <c r="Q201" s="924"/>
      <c r="R201" s="925" t="s">
        <v>24</v>
      </c>
      <c r="S201" s="925"/>
      <c r="T201" s="926" t="s">
        <v>25</v>
      </c>
      <c r="U201" s="926"/>
      <c r="V201" s="926"/>
      <c r="W201" s="926"/>
      <c r="X201" s="926"/>
      <c r="Y201" s="927" t="s">
        <v>26</v>
      </c>
      <c r="Z201" s="927"/>
      <c r="AA201" s="926" t="s">
        <v>27</v>
      </c>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208</v>
      </c>
      <c r="C204" s="497"/>
      <c r="D204" s="254"/>
      <c r="E204" s="254"/>
      <c r="F204" s="252" t="s">
        <v>209</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2394</v>
      </c>
      <c r="AL204" s="246"/>
      <c r="AM204" s="1"/>
    </row>
    <row r="205" spans="1:59" ht="17.25" customHeight="1">
      <c r="A205" s="246"/>
      <c r="B205" s="503" t="s">
        <v>32</v>
      </c>
      <c r="C205" s="504" t="s">
        <v>2362</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4</v>
      </c>
      <c r="AL205" s="246"/>
    </row>
    <row r="206" spans="1:59" s="338" customFormat="1" ht="12" customHeight="1">
      <c r="A206" s="280"/>
      <c r="B206" s="304" t="s">
        <v>201</v>
      </c>
      <c r="C206" s="475" t="s">
        <v>210</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211</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212</v>
      </c>
      <c r="C209" s="915" t="s">
        <v>213</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214</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215</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216</v>
      </c>
      <c r="C212" s="918" t="s">
        <v>217</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218</v>
      </c>
      <c r="C213" s="921" t="s">
        <v>219</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220</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212</v>
      </c>
      <c r="C216" s="943" t="s">
        <v>221</v>
      </c>
      <c r="D216" s="944"/>
      <c r="E216" s="944"/>
      <c r="F216" s="944"/>
      <c r="G216" s="944"/>
      <c r="H216" s="944"/>
      <c r="I216" s="945"/>
      <c r="J216" s="936" t="s">
        <v>222</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216</v>
      </c>
      <c r="C217" s="933" t="s">
        <v>223</v>
      </c>
      <c r="D217" s="933"/>
      <c r="E217" s="933"/>
      <c r="F217" s="933"/>
      <c r="G217" s="933"/>
      <c r="H217" s="933"/>
      <c r="I217" s="933"/>
      <c r="J217" s="934" t="s">
        <v>224</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225</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226</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227</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218</v>
      </c>
      <c r="C221" s="933" t="s">
        <v>229</v>
      </c>
      <c r="D221" s="933"/>
      <c r="E221" s="933"/>
      <c r="F221" s="933"/>
      <c r="G221" s="933"/>
      <c r="H221" s="933"/>
      <c r="I221" s="933"/>
      <c r="J221" s="934" t="s">
        <v>230</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231</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228</v>
      </c>
      <c r="C223" s="933" t="s">
        <v>232</v>
      </c>
      <c r="D223" s="933"/>
      <c r="E223" s="933"/>
      <c r="F223" s="933"/>
      <c r="G223" s="933"/>
      <c r="H223" s="933"/>
      <c r="I223" s="933"/>
      <c r="J223" s="934" t="s">
        <v>233</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v>
      </c>
      <c r="AL223" s="246"/>
      <c r="AM223" s="1"/>
    </row>
    <row r="224" spans="1:60" s="255" customFormat="1" ht="36" customHeight="1">
      <c r="A224" s="254"/>
      <c r="B224" s="507" t="s">
        <v>2363</v>
      </c>
      <c r="C224" s="933" t="s">
        <v>234</v>
      </c>
      <c r="D224" s="933"/>
      <c r="E224" s="933"/>
      <c r="F224" s="933"/>
      <c r="G224" s="933"/>
      <c r="H224" s="933"/>
      <c r="I224" s="933"/>
      <c r="J224" s="934" t="s">
        <v>235</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2364</v>
      </c>
      <c r="C225" s="933" t="s">
        <v>237</v>
      </c>
      <c r="D225" s="933"/>
      <c r="E225" s="933"/>
      <c r="F225" s="933"/>
      <c r="G225" s="933"/>
      <c r="H225" s="933"/>
      <c r="I225" s="933"/>
      <c r="J225" s="936" t="s">
        <v>238</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236</v>
      </c>
      <c r="C226" s="933" t="s">
        <v>239</v>
      </c>
      <c r="D226" s="933"/>
      <c r="E226" s="933"/>
      <c r="F226" s="933"/>
      <c r="G226" s="933"/>
      <c r="H226" s="933"/>
      <c r="I226" s="933"/>
      <c r="J226" s="936" t="s">
        <v>240</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241</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242</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32</v>
      </c>
      <c r="C230" s="929" t="s">
        <v>243</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32</v>
      </c>
      <c r="C231" s="931" t="s">
        <v>2251</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76200</xdr:colOff>
                    <xdr:row>36</xdr:row>
                    <xdr:rowOff>12700</xdr:rowOff>
                  </from>
                  <to>
                    <xdr:col>2</xdr:col>
                    <xdr:colOff>63500</xdr:colOff>
                    <xdr:row>36</xdr:row>
                    <xdr:rowOff>146050</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127000</xdr:colOff>
                    <xdr:row>43</xdr:row>
                    <xdr:rowOff>44450</xdr:rowOff>
                  </from>
                  <to>
                    <xdr:col>6</xdr:col>
                    <xdr:colOff>12700</xdr:colOff>
                    <xdr:row>43</xdr:row>
                    <xdr:rowOff>184150</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120650</xdr:colOff>
                    <xdr:row>43</xdr:row>
                    <xdr:rowOff>44450</xdr:rowOff>
                  </from>
                  <to>
                    <xdr:col>10</xdr:col>
                    <xdr:colOff>19050</xdr:colOff>
                    <xdr:row>43</xdr:row>
                    <xdr:rowOff>184150</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120650</xdr:colOff>
                    <xdr:row>43</xdr:row>
                    <xdr:rowOff>44450</xdr:rowOff>
                  </from>
                  <to>
                    <xdr:col>16</xdr:col>
                    <xdr:colOff>19050</xdr:colOff>
                    <xdr:row>43</xdr:row>
                    <xdr:rowOff>184150</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120650</xdr:colOff>
                    <xdr:row>43</xdr:row>
                    <xdr:rowOff>44450</xdr:rowOff>
                  </from>
                  <to>
                    <xdr:col>23</xdr:col>
                    <xdr:colOff>19050</xdr:colOff>
                    <xdr:row>43</xdr:row>
                    <xdr:rowOff>184150</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120650</xdr:colOff>
                    <xdr:row>43</xdr:row>
                    <xdr:rowOff>44450</xdr:rowOff>
                  </from>
                  <to>
                    <xdr:col>27</xdr:col>
                    <xdr:colOff>12700</xdr:colOff>
                    <xdr:row>43</xdr:row>
                    <xdr:rowOff>184150</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57150</xdr:colOff>
                    <xdr:row>97</xdr:row>
                    <xdr:rowOff>6350</xdr:rowOff>
                  </from>
                  <to>
                    <xdr:col>3</xdr:col>
                    <xdr:colOff>69850</xdr:colOff>
                    <xdr:row>97</xdr:row>
                    <xdr:rowOff>146050</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50800</xdr:colOff>
                    <xdr:row>102</xdr:row>
                    <xdr:rowOff>31750</xdr:rowOff>
                  </from>
                  <to>
                    <xdr:col>13</xdr:col>
                    <xdr:colOff>69850</xdr:colOff>
                    <xdr:row>102</xdr:row>
                    <xdr:rowOff>184150</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57150</xdr:colOff>
                    <xdr:row>104</xdr:row>
                    <xdr:rowOff>133350</xdr:rowOff>
                  </from>
                  <to>
                    <xdr:col>3</xdr:col>
                    <xdr:colOff>69850</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57150</xdr:colOff>
                    <xdr:row>113</xdr:row>
                    <xdr:rowOff>31750</xdr:rowOff>
                  </from>
                  <to>
                    <xdr:col>13</xdr:col>
                    <xdr:colOff>69850</xdr:colOff>
                    <xdr:row>113</xdr:row>
                    <xdr:rowOff>171450</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69850</xdr:colOff>
                    <xdr:row>117</xdr:row>
                    <xdr:rowOff>19050</xdr:rowOff>
                  </from>
                  <to>
                    <xdr:col>2</xdr:col>
                    <xdr:colOff>50800</xdr:colOff>
                    <xdr:row>117</xdr:row>
                    <xdr:rowOff>165100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50800</xdr:colOff>
                    <xdr:row>124</xdr:row>
                    <xdr:rowOff>38100</xdr:rowOff>
                  </from>
                  <to>
                    <xdr:col>13</xdr:col>
                    <xdr:colOff>69850</xdr:colOff>
                    <xdr:row>124</xdr:row>
                    <xdr:rowOff>196850</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127000</xdr:colOff>
                    <xdr:row>119</xdr:row>
                    <xdr:rowOff>6350</xdr:rowOff>
                  </from>
                  <to>
                    <xdr:col>7</xdr:col>
                    <xdr:colOff>0</xdr:colOff>
                    <xdr:row>119</xdr:row>
                    <xdr:rowOff>203200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127000</xdr:colOff>
                    <xdr:row>120</xdr:row>
                    <xdr:rowOff>76200</xdr:rowOff>
                  </from>
                  <to>
                    <xdr:col>7</xdr:col>
                    <xdr:colOff>0</xdr:colOff>
                    <xdr:row>120</xdr:row>
                    <xdr:rowOff>222250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127000</xdr:colOff>
                    <xdr:row>121</xdr:row>
                    <xdr:rowOff>95250</xdr:rowOff>
                  </from>
                  <to>
                    <xdr:col>7</xdr:col>
                    <xdr:colOff>0</xdr:colOff>
                    <xdr:row>121</xdr:row>
                    <xdr:rowOff>222250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127000</xdr:colOff>
                    <xdr:row>152</xdr:row>
                    <xdr:rowOff>101600</xdr:rowOff>
                  </from>
                  <to>
                    <xdr:col>6</xdr:col>
                    <xdr:colOff>0</xdr:colOff>
                    <xdr:row>154</xdr:row>
                    <xdr:rowOff>12700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127000</xdr:colOff>
                    <xdr:row>153</xdr:row>
                    <xdr:rowOff>107950</xdr:rowOff>
                  </from>
                  <to>
                    <xdr:col>6</xdr:col>
                    <xdr:colOff>0</xdr:colOff>
                    <xdr:row>155</xdr:row>
                    <xdr:rowOff>19050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127000</xdr:colOff>
                    <xdr:row>154</xdr:row>
                    <xdr:rowOff>101600</xdr:rowOff>
                  </from>
                  <to>
                    <xdr:col>6</xdr:col>
                    <xdr:colOff>0</xdr:colOff>
                    <xdr:row>156</xdr:row>
                    <xdr:rowOff>19050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127000</xdr:colOff>
                    <xdr:row>155</xdr:row>
                    <xdr:rowOff>101600</xdr:rowOff>
                  </from>
                  <to>
                    <xdr:col>6</xdr:col>
                    <xdr:colOff>0</xdr:colOff>
                    <xdr:row>157</xdr:row>
                    <xdr:rowOff>19050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127000</xdr:colOff>
                    <xdr:row>157</xdr:row>
                    <xdr:rowOff>25400</xdr:rowOff>
                  </from>
                  <to>
                    <xdr:col>6</xdr:col>
                    <xdr:colOff>0</xdr:colOff>
                    <xdr:row>157</xdr:row>
                    <xdr:rowOff>171450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127000</xdr:colOff>
                    <xdr:row>157</xdr:row>
                    <xdr:rowOff>196850</xdr:rowOff>
                  </from>
                  <to>
                    <xdr:col>6</xdr:col>
                    <xdr:colOff>0</xdr:colOff>
                    <xdr:row>159</xdr:row>
                    <xdr:rowOff>19050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127000</xdr:colOff>
                    <xdr:row>158</xdr:row>
                    <xdr:rowOff>95250</xdr:rowOff>
                  </from>
                  <to>
                    <xdr:col>6</xdr:col>
                    <xdr:colOff>0</xdr:colOff>
                    <xdr:row>160</xdr:row>
                    <xdr:rowOff>19050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127000</xdr:colOff>
                    <xdr:row>159</xdr:row>
                    <xdr:rowOff>95250</xdr:rowOff>
                  </from>
                  <to>
                    <xdr:col>6</xdr:col>
                    <xdr:colOff>0</xdr:colOff>
                    <xdr:row>161</xdr:row>
                    <xdr:rowOff>19050</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127000</xdr:colOff>
                    <xdr:row>160</xdr:row>
                    <xdr:rowOff>95250</xdr:rowOff>
                  </from>
                  <to>
                    <xdr:col>6</xdr:col>
                    <xdr:colOff>0</xdr:colOff>
                    <xdr:row>162</xdr:row>
                    <xdr:rowOff>19050</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127000</xdr:colOff>
                    <xdr:row>162</xdr:row>
                    <xdr:rowOff>19050</xdr:rowOff>
                  </from>
                  <to>
                    <xdr:col>6</xdr:col>
                    <xdr:colOff>0</xdr:colOff>
                    <xdr:row>162</xdr:row>
                    <xdr:rowOff>165100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127000</xdr:colOff>
                    <xdr:row>162</xdr:row>
                    <xdr:rowOff>177800</xdr:rowOff>
                  </from>
                  <to>
                    <xdr:col>6</xdr:col>
                    <xdr:colOff>0</xdr:colOff>
                    <xdr:row>164</xdr:row>
                    <xdr:rowOff>19050</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127000</xdr:colOff>
                    <xdr:row>163</xdr:row>
                    <xdr:rowOff>95250</xdr:rowOff>
                  </from>
                  <to>
                    <xdr:col>6</xdr:col>
                    <xdr:colOff>0</xdr:colOff>
                    <xdr:row>165</xdr:row>
                    <xdr:rowOff>19050</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127000</xdr:colOff>
                    <xdr:row>165</xdr:row>
                    <xdr:rowOff>19050</xdr:rowOff>
                  </from>
                  <to>
                    <xdr:col>6</xdr:col>
                    <xdr:colOff>0</xdr:colOff>
                    <xdr:row>165</xdr:row>
                    <xdr:rowOff>165100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127000</xdr:colOff>
                    <xdr:row>165</xdr:row>
                    <xdr:rowOff>171450</xdr:rowOff>
                  </from>
                  <to>
                    <xdr:col>6</xdr:col>
                    <xdr:colOff>0</xdr:colOff>
                    <xdr:row>167</xdr:row>
                    <xdr:rowOff>19050</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127000</xdr:colOff>
                    <xdr:row>166</xdr:row>
                    <xdr:rowOff>95250</xdr:rowOff>
                  </from>
                  <to>
                    <xdr:col>6</xdr:col>
                    <xdr:colOff>0</xdr:colOff>
                    <xdr:row>168</xdr:row>
                    <xdr:rowOff>19050</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127000</xdr:colOff>
                    <xdr:row>167</xdr:row>
                    <xdr:rowOff>95250</xdr:rowOff>
                  </from>
                  <to>
                    <xdr:col>6</xdr:col>
                    <xdr:colOff>0</xdr:colOff>
                    <xdr:row>169</xdr:row>
                    <xdr:rowOff>19050</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127000</xdr:colOff>
                    <xdr:row>168</xdr:row>
                    <xdr:rowOff>95250</xdr:rowOff>
                  </from>
                  <to>
                    <xdr:col>6</xdr:col>
                    <xdr:colOff>0</xdr:colOff>
                    <xdr:row>170</xdr:row>
                    <xdr:rowOff>19050</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127000</xdr:colOff>
                    <xdr:row>170</xdr:row>
                    <xdr:rowOff>19050</xdr:rowOff>
                  </from>
                  <to>
                    <xdr:col>6</xdr:col>
                    <xdr:colOff>0</xdr:colOff>
                    <xdr:row>170</xdr:row>
                    <xdr:rowOff>152400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127000</xdr:colOff>
                    <xdr:row>170</xdr:row>
                    <xdr:rowOff>171450</xdr:rowOff>
                  </from>
                  <to>
                    <xdr:col>6</xdr:col>
                    <xdr:colOff>0</xdr:colOff>
                    <xdr:row>172</xdr:row>
                    <xdr:rowOff>19050</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127000</xdr:colOff>
                    <xdr:row>171</xdr:row>
                    <xdr:rowOff>95250</xdr:rowOff>
                  </from>
                  <to>
                    <xdr:col>6</xdr:col>
                    <xdr:colOff>0</xdr:colOff>
                    <xdr:row>173</xdr:row>
                    <xdr:rowOff>19050</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127000</xdr:colOff>
                    <xdr:row>174</xdr:row>
                    <xdr:rowOff>95250</xdr:rowOff>
                  </from>
                  <to>
                    <xdr:col>6</xdr:col>
                    <xdr:colOff>0</xdr:colOff>
                    <xdr:row>176</xdr:row>
                    <xdr:rowOff>19050</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127000</xdr:colOff>
                    <xdr:row>175</xdr:row>
                    <xdr:rowOff>95250</xdr:rowOff>
                  </from>
                  <to>
                    <xdr:col>6</xdr:col>
                    <xdr:colOff>0</xdr:colOff>
                    <xdr:row>177</xdr:row>
                    <xdr:rowOff>19050</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133350</xdr:colOff>
                    <xdr:row>180</xdr:row>
                    <xdr:rowOff>31750</xdr:rowOff>
                  </from>
                  <to>
                    <xdr:col>6</xdr:col>
                    <xdr:colOff>6350</xdr:colOff>
                    <xdr:row>180</xdr:row>
                    <xdr:rowOff>177800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133350</xdr:colOff>
                    <xdr:row>181</xdr:row>
                    <xdr:rowOff>6350</xdr:rowOff>
                  </from>
                  <to>
                    <xdr:col>6</xdr:col>
                    <xdr:colOff>12700</xdr:colOff>
                    <xdr:row>181</xdr:row>
                    <xdr:rowOff>152400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6350</xdr:colOff>
                    <xdr:row>186</xdr:row>
                    <xdr:rowOff>31750</xdr:rowOff>
                  </from>
                  <to>
                    <xdr:col>1</xdr:col>
                    <xdr:colOff>146050</xdr:colOff>
                    <xdr:row>186</xdr:row>
                    <xdr:rowOff>171450</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6350</xdr:colOff>
                    <xdr:row>187</xdr:row>
                    <xdr:rowOff>76200</xdr:rowOff>
                  </from>
                  <to>
                    <xdr:col>1</xdr:col>
                    <xdr:colOff>139700</xdr:colOff>
                    <xdr:row>187</xdr:row>
                    <xdr:rowOff>228600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6350</xdr:colOff>
                    <xdr:row>188</xdr:row>
                    <xdr:rowOff>69850</xdr:rowOff>
                  </from>
                  <to>
                    <xdr:col>1</xdr:col>
                    <xdr:colOff>146050</xdr:colOff>
                    <xdr:row>188</xdr:row>
                    <xdr:rowOff>222250</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6350</xdr:colOff>
                    <xdr:row>189</xdr:row>
                    <xdr:rowOff>12700</xdr:rowOff>
                  </from>
                  <to>
                    <xdr:col>1</xdr:col>
                    <xdr:colOff>146050</xdr:colOff>
                    <xdr:row>189</xdr:row>
                    <xdr:rowOff>165100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6350</xdr:colOff>
                    <xdr:row>190</xdr:row>
                    <xdr:rowOff>12700</xdr:rowOff>
                  </from>
                  <to>
                    <xdr:col>1</xdr:col>
                    <xdr:colOff>146050</xdr:colOff>
                    <xdr:row>190</xdr:row>
                    <xdr:rowOff>165100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6350</xdr:colOff>
                    <xdr:row>190</xdr:row>
                    <xdr:rowOff>177800</xdr:rowOff>
                  </from>
                  <to>
                    <xdr:col>1</xdr:col>
                    <xdr:colOff>146050</xdr:colOff>
                    <xdr:row>192</xdr:row>
                    <xdr:rowOff>19050</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57150</xdr:colOff>
                    <xdr:row>74</xdr:row>
                    <xdr:rowOff>19050</xdr:rowOff>
                  </from>
                  <to>
                    <xdr:col>3</xdr:col>
                    <xdr:colOff>69850</xdr:colOff>
                    <xdr:row>74</xdr:row>
                    <xdr:rowOff>165100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146050</xdr:colOff>
                    <xdr:row>134</xdr:row>
                    <xdr:rowOff>95250</xdr:rowOff>
                  </from>
                  <to>
                    <xdr:col>2</xdr:col>
                    <xdr:colOff>127000</xdr:colOff>
                    <xdr:row>136</xdr:row>
                    <xdr:rowOff>25400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146050</xdr:colOff>
                    <xdr:row>135</xdr:row>
                    <xdr:rowOff>107950</xdr:rowOff>
                  </from>
                  <to>
                    <xdr:col>2</xdr:col>
                    <xdr:colOff>114300</xdr:colOff>
                    <xdr:row>137</xdr:row>
                    <xdr:rowOff>25400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146050</xdr:colOff>
                    <xdr:row>137</xdr:row>
                    <xdr:rowOff>19050</xdr:rowOff>
                  </from>
                  <to>
                    <xdr:col>2</xdr:col>
                    <xdr:colOff>114300</xdr:colOff>
                    <xdr:row>137</xdr:row>
                    <xdr:rowOff>209550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146050</xdr:colOff>
                    <xdr:row>137</xdr:row>
                    <xdr:rowOff>196850</xdr:rowOff>
                  </from>
                  <to>
                    <xdr:col>2</xdr:col>
                    <xdr:colOff>114300</xdr:colOff>
                    <xdr:row>139</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2429</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2"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3</v>
      </c>
      <c r="AI58" s="240"/>
      <c r="AJ58" s="240"/>
      <c r="AK58" s="992" t="s">
        <v>2204</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3</v>
      </c>
      <c r="AI59" s="240"/>
      <c r="AJ59" s="240"/>
      <c r="AK59" s="992" t="s">
        <v>2205</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6" customHeight="1">
      <c r="BH64" s="193"/>
      <c r="BI64" s="193"/>
      <c r="BJ64" s="193"/>
      <c r="BK64" s="193"/>
      <c r="BL64" s="193"/>
      <c r="BM64" s="193"/>
      <c r="BN64" s="193"/>
      <c r="BO64" s="193"/>
      <c r="BP64" s="193"/>
      <c r="BQ64" s="193"/>
      <c r="BR64" s="193"/>
      <c r="BS64" s="193"/>
      <c r="BT64" s="193"/>
      <c r="BU64" s="193"/>
      <c r="BV64" s="193"/>
      <c r="BW64" s="193"/>
      <c r="BX64" s="193"/>
    </row>
    <row r="65" spans="20:63" ht="16" customHeight="1">
      <c r="BK65" s="193"/>
    </row>
    <row r="66" spans="20:63" ht="16" customHeight="1"/>
    <row r="67" spans="20:63" ht="16" customHeight="1">
      <c r="T67" s="168">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33203125"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2430</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8"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8"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8" ht="6" customHeight="1">
      <c r="BX54" s="239"/>
    </row>
    <row r="55" spans="2:88" ht="18" customHeight="1"/>
    <row r="56" spans="2:88"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8"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3</v>
      </c>
      <c r="AI58" s="240"/>
      <c r="AJ58" s="240"/>
      <c r="AK58" s="992" t="s">
        <v>2204</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3</v>
      </c>
      <c r="AI59" s="240"/>
      <c r="AJ59" s="240"/>
      <c r="AK59" s="992" t="s">
        <v>2205</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6"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6" customHeight="1">
      <c r="BS65" s="193"/>
    </row>
    <row r="66" spans="20:71" ht="16" customHeight="1"/>
    <row r="67" spans="20:71" ht="16" customHeight="1">
      <c r="T67" s="168">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69850</xdr:colOff>
                    <xdr:row>19</xdr:row>
                    <xdr:rowOff>76200</xdr:rowOff>
                  </from>
                  <to>
                    <xdr:col>29</xdr:col>
                    <xdr:colOff>57150</xdr:colOff>
                    <xdr:row>22</xdr:row>
                    <xdr:rowOff>63500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12700</xdr:colOff>
                    <xdr:row>30</xdr:row>
                    <xdr:rowOff>88900</xdr:rowOff>
                  </from>
                  <to>
                    <xdr:col>30</xdr:col>
                    <xdr:colOff>38100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12700</xdr:colOff>
                    <xdr:row>30</xdr:row>
                    <xdr:rowOff>76200</xdr:rowOff>
                  </from>
                  <to>
                    <xdr:col>39</xdr:col>
                    <xdr:colOff>19050</xdr:colOff>
                    <xdr:row>34</xdr:row>
                    <xdr:rowOff>82550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101600</xdr:colOff>
                    <xdr:row>34</xdr:row>
                    <xdr:rowOff>6350</xdr:rowOff>
                  </from>
                  <to>
                    <xdr:col>38</xdr:col>
                    <xdr:colOff>57150</xdr:colOff>
                    <xdr:row>38</xdr:row>
                    <xdr:rowOff>57150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19050</xdr:colOff>
                    <xdr:row>38</xdr:row>
                    <xdr:rowOff>69850</xdr:rowOff>
                  </from>
                  <to>
                    <xdr:col>38</xdr:col>
                    <xdr:colOff>107950</xdr:colOff>
                    <xdr:row>42</xdr:row>
                    <xdr:rowOff>57150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38100</xdr:colOff>
                    <xdr:row>42</xdr:row>
                    <xdr:rowOff>25400</xdr:rowOff>
                  </from>
                  <to>
                    <xdr:col>38</xdr:col>
                    <xdr:colOff>38100</xdr:colOff>
                    <xdr:row>46</xdr:row>
                    <xdr:rowOff>44450</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25400</xdr:colOff>
                    <xdr:row>19</xdr:row>
                    <xdr:rowOff>82550</xdr:rowOff>
                  </from>
                  <to>
                    <xdr:col>30</xdr:col>
                    <xdr:colOff>31750</xdr:colOff>
                    <xdr:row>23</xdr:row>
                    <xdr:rowOff>57150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101600</xdr:colOff>
                    <xdr:row>38</xdr:row>
                    <xdr:rowOff>44450</xdr:rowOff>
                  </from>
                  <to>
                    <xdr:col>30</xdr:col>
                    <xdr:colOff>76200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95250</xdr:colOff>
                    <xdr:row>34</xdr:row>
                    <xdr:rowOff>88900</xdr:rowOff>
                  </from>
                  <to>
                    <xdr:col>37</xdr:col>
                    <xdr:colOff>12700</xdr:colOff>
                    <xdr:row>36</xdr:row>
                    <xdr:rowOff>19050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95250</xdr:colOff>
                    <xdr:row>36</xdr:row>
                    <xdr:rowOff>165100</xdr:rowOff>
                  </from>
                  <to>
                    <xdr:col>37</xdr:col>
                    <xdr:colOff>19050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247</v>
      </c>
      <c r="B1" s="5"/>
      <c r="C1" s="5"/>
      <c r="D1" s="5"/>
      <c r="E1" s="5"/>
      <c r="AD1" s="7"/>
      <c r="AE1" s="5" t="s">
        <v>2281</v>
      </c>
      <c r="AJ1" s="6" t="s">
        <v>248</v>
      </c>
      <c r="AM1" s="6" t="s">
        <v>249</v>
      </c>
      <c r="AO1" s="8" t="s">
        <v>250</v>
      </c>
      <c r="AQ1" s="5" t="s">
        <v>251</v>
      </c>
    </row>
    <row r="2" spans="1:46" ht="36.75" customHeight="1">
      <c r="A2" s="1163" t="s">
        <v>253</v>
      </c>
      <c r="B2" s="1166" t="s">
        <v>254</v>
      </c>
      <c r="C2" s="1167"/>
      <c r="D2" s="1167"/>
      <c r="E2" s="1168"/>
      <c r="F2" s="1169" t="s">
        <v>255</v>
      </c>
      <c r="G2" s="1170"/>
      <c r="H2" s="1171"/>
      <c r="I2" s="1163" t="s">
        <v>256</v>
      </c>
      <c r="J2" s="1172"/>
      <c r="K2" s="1174" t="s">
        <v>257</v>
      </c>
      <c r="L2" s="1175"/>
      <c r="M2" s="1175"/>
      <c r="N2" s="1175"/>
      <c r="O2" s="1175"/>
      <c r="P2" s="1175"/>
      <c r="Q2" s="1175"/>
      <c r="R2" s="1175"/>
      <c r="S2" s="1175"/>
      <c r="T2" s="1175"/>
      <c r="U2" s="1175"/>
      <c r="V2" s="1175"/>
      <c r="W2" s="1175"/>
      <c r="X2" s="1175"/>
      <c r="Y2" s="1175"/>
      <c r="Z2" s="1175"/>
      <c r="AA2" s="1175"/>
      <c r="AB2" s="1176"/>
      <c r="AC2" s="1160" t="s">
        <v>258</v>
      </c>
      <c r="AD2" s="7"/>
      <c r="AE2" s="1163" t="s">
        <v>253</v>
      </c>
      <c r="AF2" s="1163" t="s">
        <v>2269</v>
      </c>
      <c r="AG2" s="1183"/>
      <c r="AH2" s="1172"/>
      <c r="AJ2" s="9" t="s">
        <v>260</v>
      </c>
      <c r="AK2" s="10" t="s">
        <v>260</v>
      </c>
      <c r="AM2" s="11" t="s">
        <v>204</v>
      </c>
      <c r="AO2" s="11" t="s">
        <v>18</v>
      </c>
      <c r="AQ2" s="12" t="s">
        <v>261</v>
      </c>
      <c r="AS2" s="1188" t="s">
        <v>2146</v>
      </c>
      <c r="AT2" s="1191" t="s">
        <v>259</v>
      </c>
    </row>
    <row r="3" spans="1:46" ht="51.75" customHeight="1" thickBot="1">
      <c r="A3" s="1164"/>
      <c r="B3" s="1177" t="s">
        <v>263</v>
      </c>
      <c r="C3" s="1178"/>
      <c r="D3" s="1178"/>
      <c r="E3" s="1179"/>
      <c r="F3" s="1177" t="s">
        <v>264</v>
      </c>
      <c r="G3" s="1178"/>
      <c r="H3" s="1179"/>
      <c r="I3" s="1165"/>
      <c r="J3" s="1173"/>
      <c r="K3" s="1180" t="s">
        <v>265</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266</v>
      </c>
      <c r="AK3" s="14" t="s">
        <v>266</v>
      </c>
      <c r="AM3" s="15"/>
      <c r="AO3" s="15"/>
      <c r="AQ3" s="16" t="s">
        <v>20</v>
      </c>
      <c r="AS3" s="1189"/>
      <c r="AT3" s="1192"/>
    </row>
    <row r="4" spans="1:46" ht="41.25" customHeight="1" thickBot="1">
      <c r="A4" s="1165"/>
      <c r="B4" s="127" t="s">
        <v>9</v>
      </c>
      <c r="C4" s="128" t="s">
        <v>267</v>
      </c>
      <c r="D4" s="128" t="s">
        <v>268</v>
      </c>
      <c r="E4" s="129" t="s">
        <v>269</v>
      </c>
      <c r="F4" s="127" t="s">
        <v>270</v>
      </c>
      <c r="G4" s="130" t="s">
        <v>10</v>
      </c>
      <c r="H4" s="131" t="s">
        <v>13</v>
      </c>
      <c r="I4" s="132" t="s">
        <v>15</v>
      </c>
      <c r="J4" s="131" t="s">
        <v>11</v>
      </c>
      <c r="K4" s="124" t="s">
        <v>271</v>
      </c>
      <c r="L4" s="125" t="s">
        <v>272</v>
      </c>
      <c r="M4" s="125" t="s">
        <v>274</v>
      </c>
      <c r="N4" s="125" t="s">
        <v>276</v>
      </c>
      <c r="O4" s="125" t="s">
        <v>2265</v>
      </c>
      <c r="P4" s="125" t="s">
        <v>2172</v>
      </c>
      <c r="Q4" s="125" t="s">
        <v>2173</v>
      </c>
      <c r="R4" s="125" t="s">
        <v>2174</v>
      </c>
      <c r="S4" s="125" t="s">
        <v>2175</v>
      </c>
      <c r="T4" s="125" t="s">
        <v>2176</v>
      </c>
      <c r="U4" s="125" t="s">
        <v>2177</v>
      </c>
      <c r="V4" s="125" t="s">
        <v>2178</v>
      </c>
      <c r="W4" s="125" t="s">
        <v>2179</v>
      </c>
      <c r="X4" s="125" t="s">
        <v>2180</v>
      </c>
      <c r="Y4" s="125" t="s">
        <v>2181</v>
      </c>
      <c r="Z4" s="125" t="s">
        <v>2182</v>
      </c>
      <c r="AA4" s="125" t="s">
        <v>2183</v>
      </c>
      <c r="AB4" s="126" t="s">
        <v>2184</v>
      </c>
      <c r="AC4" s="1162"/>
      <c r="AD4" s="7"/>
      <c r="AE4" s="1165"/>
      <c r="AF4" s="1164"/>
      <c r="AG4" s="1184"/>
      <c r="AH4" s="1185"/>
      <c r="AJ4" s="13" t="s">
        <v>277</v>
      </c>
      <c r="AK4" s="14" t="s">
        <v>277</v>
      </c>
      <c r="AQ4" s="16" t="s">
        <v>273</v>
      </c>
      <c r="AS4" s="1190"/>
      <c r="AT4" s="1193"/>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0"/>
      <c r="AJ5" s="13" t="s">
        <v>278</v>
      </c>
      <c r="AK5" s="14" t="s">
        <v>279</v>
      </c>
      <c r="AM5" s="11" t="s">
        <v>204</v>
      </c>
      <c r="AQ5" s="16" t="s">
        <v>275</v>
      </c>
      <c r="AS5" s="161" t="s">
        <v>260</v>
      </c>
      <c r="AT5" s="164" t="s">
        <v>2147</v>
      </c>
    </row>
    <row r="6" spans="1:46" ht="18.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1"/>
      <c r="AJ6" s="13" t="s">
        <v>281</v>
      </c>
      <c r="AK6" s="14" t="s">
        <v>281</v>
      </c>
      <c r="AM6" s="38" t="s">
        <v>282</v>
      </c>
      <c r="AQ6" s="39"/>
      <c r="AS6" s="162" t="s">
        <v>280</v>
      </c>
      <c r="AT6" s="165" t="s">
        <v>2148</v>
      </c>
    </row>
    <row r="7" spans="1:46" ht="18.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1"/>
      <c r="AJ7" s="13" t="s">
        <v>284</v>
      </c>
      <c r="AK7" s="14" t="s">
        <v>284</v>
      </c>
      <c r="AM7" s="15"/>
      <c r="AS7" s="162" t="s">
        <v>283</v>
      </c>
      <c r="AT7" s="165"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1"/>
      <c r="AJ8" s="13" t="s">
        <v>285</v>
      </c>
      <c r="AK8" s="14" t="s">
        <v>286</v>
      </c>
      <c r="AS8" s="162" t="s">
        <v>278</v>
      </c>
      <c r="AT8" s="165"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1"/>
      <c r="AJ9" s="13" t="s">
        <v>287</v>
      </c>
      <c r="AK9" s="14" t="s">
        <v>288</v>
      </c>
      <c r="AS9" s="162" t="s">
        <v>281</v>
      </c>
      <c r="AT9" s="165"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2" t="s">
        <v>284</v>
      </c>
      <c r="AT10" s="165"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1"/>
      <c r="AJ11" s="13" t="s">
        <v>290</v>
      </c>
      <c r="AK11" s="14" t="s">
        <v>291</v>
      </c>
      <c r="AS11" s="162" t="s">
        <v>285</v>
      </c>
      <c r="AT11" s="165"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2" t="s">
        <v>287</v>
      </c>
      <c r="AT12" s="165"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2" t="s">
        <v>289</v>
      </c>
      <c r="AT13" s="165"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1"/>
      <c r="AJ14" s="13" t="s">
        <v>295</v>
      </c>
      <c r="AK14" s="14" t="s">
        <v>296</v>
      </c>
      <c r="AS14" s="162" t="s">
        <v>290</v>
      </c>
      <c r="AT14" s="165"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1"/>
      <c r="AJ15" s="13" t="s">
        <v>297</v>
      </c>
      <c r="AK15" s="14" t="s">
        <v>297</v>
      </c>
      <c r="AS15" s="162" t="s">
        <v>292</v>
      </c>
      <c r="AT15" s="165"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1"/>
      <c r="AJ16" s="13" t="s">
        <v>298</v>
      </c>
      <c r="AK16" s="14" t="s">
        <v>298</v>
      </c>
      <c r="AS16" s="162" t="s">
        <v>294</v>
      </c>
      <c r="AT16" s="165"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1"/>
      <c r="AJ17" s="13" t="s">
        <v>299</v>
      </c>
      <c r="AK17" s="14" t="s">
        <v>300</v>
      </c>
      <c r="AS17" s="162" t="s">
        <v>295</v>
      </c>
      <c r="AT17" s="165"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2" t="s">
        <v>297</v>
      </c>
      <c r="AT18" s="165"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2" t="s">
        <v>298</v>
      </c>
      <c r="AT19" s="165"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2" t="s">
        <v>299</v>
      </c>
      <c r="AT20" s="165"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1"/>
      <c r="AJ21" s="13" t="s">
        <v>306</v>
      </c>
      <c r="AK21" s="14" t="s">
        <v>306</v>
      </c>
      <c r="AS21" s="162" t="s">
        <v>301</v>
      </c>
      <c r="AT21" s="165" t="s">
        <v>2148</v>
      </c>
    </row>
    <row r="22" spans="1:46" ht="18.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2" t="s">
        <v>302</v>
      </c>
      <c r="AT22" s="165"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2" t="s">
        <v>304</v>
      </c>
      <c r="AT23" s="165" t="s">
        <v>2399</v>
      </c>
    </row>
    <row r="24" spans="1:46" ht="18.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1"/>
      <c r="AJ24" s="40" t="s">
        <v>311</v>
      </c>
      <c r="AK24" s="41" t="s">
        <v>312</v>
      </c>
      <c r="AS24" s="162" t="s">
        <v>306</v>
      </c>
      <c r="AT24" s="165" t="s">
        <v>2148</v>
      </c>
    </row>
    <row r="25" spans="1:46" ht="18.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6" t="s">
        <v>2273</v>
      </c>
      <c r="AH25" s="45" t="s">
        <v>2365</v>
      </c>
      <c r="AS25" s="162" t="s">
        <v>307</v>
      </c>
      <c r="AT25" s="165"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2" t="s">
        <v>2366</v>
      </c>
      <c r="AG26" s="137" t="s">
        <v>2367</v>
      </c>
      <c r="AH26" s="140"/>
      <c r="AS26" s="162" t="s">
        <v>309</v>
      </c>
      <c r="AT26" s="165" t="s">
        <v>2400</v>
      </c>
    </row>
    <row r="27" spans="1:46" ht="18.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3" t="s">
        <v>2368</v>
      </c>
      <c r="AS27" s="163" t="s">
        <v>311</v>
      </c>
      <c r="AT27" s="166" t="s">
        <v>2397</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2279</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2280</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8203125" customWidth="1"/>
    <col min="6" max="6" width="14" customWidth="1"/>
    <col min="7" max="7" width="12.5" customWidth="1"/>
    <col min="8" max="8" width="35.33203125" style="90" customWidth="1"/>
    <col min="9" max="9" width="12.5" customWidth="1"/>
    <col min="10" max="10" width="33.5" style="96" customWidth="1"/>
    <col min="11" max="11" width="12.5" customWidth="1"/>
    <col min="12" max="12" width="35.5" style="97" customWidth="1"/>
    <col min="13" max="13" width="35" customWidth="1"/>
    <col min="14" max="19" width="30.08203125" customWidth="1"/>
  </cols>
  <sheetData>
    <row r="2" spans="2:19">
      <c r="B2" s="91" t="s">
        <v>252</v>
      </c>
      <c r="C2" s="103"/>
      <c r="D2" s="103"/>
      <c r="E2" s="103"/>
      <c r="F2" s="103"/>
      <c r="G2" s="103"/>
      <c r="H2" s="92"/>
      <c r="I2" s="103"/>
      <c r="J2" s="104"/>
      <c r="K2" s="103"/>
      <c r="L2" s="105"/>
      <c r="M2" s="93"/>
      <c r="N2" s="93"/>
      <c r="O2" s="93"/>
      <c r="P2" s="93"/>
      <c r="Q2" s="93"/>
      <c r="R2" s="93"/>
      <c r="S2" s="93"/>
    </row>
    <row r="3" spans="2:19" ht="18.75" customHeight="1">
      <c r="B3" s="1195" t="s">
        <v>254</v>
      </c>
      <c r="C3" s="1194" t="s">
        <v>255</v>
      </c>
      <c r="D3" s="1194" t="s">
        <v>256</v>
      </c>
      <c r="E3" s="1194" t="s">
        <v>262</v>
      </c>
      <c r="F3" s="1196" t="s">
        <v>2215</v>
      </c>
      <c r="G3" s="1194" t="s">
        <v>2260</v>
      </c>
      <c r="H3" s="1194"/>
      <c r="I3" s="1194" t="s">
        <v>2261</v>
      </c>
      <c r="J3" s="1194"/>
      <c r="K3" s="1194" t="s">
        <v>2262</v>
      </c>
      <c r="L3" s="1194"/>
      <c r="M3" s="1199" t="s">
        <v>2185</v>
      </c>
      <c r="N3" s="1199" t="s">
        <v>2186</v>
      </c>
      <c r="O3" s="1199" t="s">
        <v>2187</v>
      </c>
      <c r="P3" s="1199" t="s">
        <v>2188</v>
      </c>
      <c r="Q3" s="1199" t="s">
        <v>2189</v>
      </c>
      <c r="R3" s="1199" t="s">
        <v>2190</v>
      </c>
      <c r="S3" s="1199" t="s">
        <v>2191</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9</v>
      </c>
      <c r="C6" s="106" t="s">
        <v>270</v>
      </c>
      <c r="D6" s="107" t="s">
        <v>15</v>
      </c>
      <c r="E6" s="107" t="str">
        <f t="shared" ref="E6:E23" si="0">B6&amp;C6&amp;D6</f>
        <v>処遇加算Ⅰ特定加算Ⅰベア加算</v>
      </c>
      <c r="F6" s="107" t="s">
        <v>2212</v>
      </c>
      <c r="G6" s="108" t="s">
        <v>2212</v>
      </c>
      <c r="H6" s="109" t="s">
        <v>2320</v>
      </c>
      <c r="I6" s="108"/>
      <c r="J6" s="110" t="s">
        <v>2216</v>
      </c>
      <c r="K6" s="108"/>
      <c r="L6" s="111" t="s">
        <v>2216</v>
      </c>
      <c r="M6" s="156" t="s">
        <v>2169</v>
      </c>
      <c r="N6" s="156" t="s">
        <v>2169</v>
      </c>
      <c r="O6" s="156" t="s">
        <v>2169</v>
      </c>
      <c r="P6" s="156" t="s">
        <v>2169</v>
      </c>
      <c r="Q6" s="156" t="s">
        <v>2169</v>
      </c>
      <c r="R6" s="156" t="s">
        <v>2169</v>
      </c>
      <c r="S6" s="156" t="s">
        <v>2169</v>
      </c>
    </row>
    <row r="7" spans="2:19" ht="48" customHeight="1">
      <c r="B7" s="94" t="s">
        <v>9</v>
      </c>
      <c r="C7" s="106" t="s">
        <v>270</v>
      </c>
      <c r="D7" s="107" t="s">
        <v>11</v>
      </c>
      <c r="E7" s="107" t="str">
        <f t="shared" si="0"/>
        <v>処遇加算Ⅰ特定加算Ⅰベア加算なし</v>
      </c>
      <c r="F7" s="107" t="s">
        <v>2265</v>
      </c>
      <c r="G7" s="108" t="s">
        <v>2212</v>
      </c>
      <c r="H7" s="109" t="s">
        <v>2296</v>
      </c>
      <c r="I7" s="108" t="s">
        <v>2171</v>
      </c>
      <c r="J7" s="110" t="s">
        <v>2299</v>
      </c>
      <c r="K7" s="112"/>
      <c r="L7" s="113"/>
      <c r="M7" s="156" t="s">
        <v>2324</v>
      </c>
      <c r="N7" s="156" t="s">
        <v>2169</v>
      </c>
      <c r="O7" s="156" t="s">
        <v>2169</v>
      </c>
      <c r="P7" s="156" t="s">
        <v>2169</v>
      </c>
      <c r="Q7" s="156" t="s">
        <v>2169</v>
      </c>
      <c r="R7" s="156" t="s">
        <v>2169</v>
      </c>
      <c r="S7" s="156" t="s">
        <v>2169</v>
      </c>
    </row>
    <row r="8" spans="2:19" ht="48" customHeight="1">
      <c r="B8" s="94" t="s">
        <v>267</v>
      </c>
      <c r="C8" s="106" t="s">
        <v>270</v>
      </c>
      <c r="D8" s="107" t="s">
        <v>15</v>
      </c>
      <c r="E8" s="107" t="str">
        <f t="shared" si="0"/>
        <v>処遇加算Ⅱ特定加算Ⅰベア加算</v>
      </c>
      <c r="F8" s="108" t="s">
        <v>2172</v>
      </c>
      <c r="G8" s="108" t="s">
        <v>2212</v>
      </c>
      <c r="H8" s="109" t="s">
        <v>2412</v>
      </c>
      <c r="I8" s="108" t="s">
        <v>2172</v>
      </c>
      <c r="J8" s="114" t="s">
        <v>2301</v>
      </c>
      <c r="K8" s="158"/>
      <c r="L8" s="155"/>
      <c r="M8" s="157" t="s">
        <v>2169</v>
      </c>
      <c r="N8" s="156" t="s">
        <v>2169</v>
      </c>
      <c r="O8" s="156" t="s">
        <v>2169</v>
      </c>
      <c r="P8" s="156" t="s">
        <v>2323</v>
      </c>
      <c r="Q8" s="156" t="s">
        <v>2169</v>
      </c>
      <c r="R8" s="156" t="s">
        <v>2169</v>
      </c>
      <c r="S8" s="156" t="s">
        <v>2169</v>
      </c>
    </row>
    <row r="9" spans="2:19" ht="48" customHeight="1">
      <c r="B9" s="94" t="s">
        <v>267</v>
      </c>
      <c r="C9" s="106" t="s">
        <v>270</v>
      </c>
      <c r="D9" s="107" t="s">
        <v>11</v>
      </c>
      <c r="E9" s="107" t="str">
        <f t="shared" si="0"/>
        <v>処遇加算Ⅱ特定加算Ⅰベア加算なし</v>
      </c>
      <c r="F9" s="108" t="s">
        <v>2175</v>
      </c>
      <c r="G9" s="108" t="s">
        <v>2212</v>
      </c>
      <c r="H9" s="109" t="s">
        <v>2411</v>
      </c>
      <c r="I9" s="108" t="s">
        <v>2171</v>
      </c>
      <c r="J9" s="115" t="s">
        <v>2410</v>
      </c>
      <c r="K9" s="116" t="s">
        <v>2175</v>
      </c>
      <c r="L9" s="117" t="s">
        <v>2316</v>
      </c>
      <c r="M9" s="156" t="s">
        <v>2324</v>
      </c>
      <c r="N9" s="156" t="s">
        <v>2169</v>
      </c>
      <c r="O9" s="156" t="s">
        <v>2169</v>
      </c>
      <c r="P9" s="156" t="s">
        <v>2323</v>
      </c>
      <c r="Q9" s="156" t="s">
        <v>2169</v>
      </c>
      <c r="R9" s="156" t="s">
        <v>2169</v>
      </c>
      <c r="S9" s="156" t="s">
        <v>2169</v>
      </c>
    </row>
    <row r="10" spans="2:19" ht="48" customHeight="1">
      <c r="B10" s="94" t="s">
        <v>268</v>
      </c>
      <c r="C10" s="106" t="s">
        <v>270</v>
      </c>
      <c r="D10" s="107" t="s">
        <v>15</v>
      </c>
      <c r="E10" s="107" t="str">
        <f t="shared" si="0"/>
        <v>処遇加算Ⅲ特定加算Ⅰベア加算</v>
      </c>
      <c r="F10" s="108" t="s">
        <v>2177</v>
      </c>
      <c r="G10" s="108" t="s">
        <v>2212</v>
      </c>
      <c r="H10" s="109" t="s">
        <v>2413</v>
      </c>
      <c r="I10" s="108" t="s">
        <v>2177</v>
      </c>
      <c r="J10" s="114" t="s">
        <v>2302</v>
      </c>
      <c r="K10" s="158"/>
      <c r="L10" s="155"/>
      <c r="M10" s="157" t="s">
        <v>2169</v>
      </c>
      <c r="N10" s="156" t="s">
        <v>2325</v>
      </c>
      <c r="O10" s="156" t="s">
        <v>2256</v>
      </c>
      <c r="P10" s="156" t="s">
        <v>2169</v>
      </c>
      <c r="Q10" s="156" t="s">
        <v>2169</v>
      </c>
      <c r="R10" s="156" t="s">
        <v>2169</v>
      </c>
      <c r="S10" s="156" t="s">
        <v>2169</v>
      </c>
    </row>
    <row r="11" spans="2:19" ht="48" customHeight="1">
      <c r="B11" s="94" t="s">
        <v>268</v>
      </c>
      <c r="C11" s="106" t="s">
        <v>270</v>
      </c>
      <c r="D11" s="107" t="s">
        <v>11</v>
      </c>
      <c r="E11" s="107" t="str">
        <f t="shared" si="0"/>
        <v>処遇加算Ⅲ特定加算Ⅰベア加算なし</v>
      </c>
      <c r="F11" s="108" t="s">
        <v>2180</v>
      </c>
      <c r="G11" s="108" t="s">
        <v>2212</v>
      </c>
      <c r="H11" s="109" t="s">
        <v>2409</v>
      </c>
      <c r="I11" s="108" t="s">
        <v>2171</v>
      </c>
      <c r="J11" s="115" t="s">
        <v>2408</v>
      </c>
      <c r="K11" s="116" t="s">
        <v>2180</v>
      </c>
      <c r="L11" s="150" t="s">
        <v>2303</v>
      </c>
      <c r="M11" s="156" t="s">
        <v>2324</v>
      </c>
      <c r="N11" s="156" t="s">
        <v>2325</v>
      </c>
      <c r="O11" s="156" t="s">
        <v>2256</v>
      </c>
      <c r="P11" s="156" t="s">
        <v>2169</v>
      </c>
      <c r="Q11" s="156" t="s">
        <v>2169</v>
      </c>
      <c r="R11" s="156" t="s">
        <v>2169</v>
      </c>
      <c r="S11" s="156" t="s">
        <v>2169</v>
      </c>
    </row>
    <row r="12" spans="2:19" ht="48" customHeight="1">
      <c r="B12" s="94" t="s">
        <v>9</v>
      </c>
      <c r="C12" s="106" t="s">
        <v>10</v>
      </c>
      <c r="D12" s="107" t="s">
        <v>15</v>
      </c>
      <c r="E12" s="107" t="str">
        <f t="shared" si="0"/>
        <v>処遇加算Ⅰ特定加算Ⅱベア加算</v>
      </c>
      <c r="F12" s="107" t="s">
        <v>2225</v>
      </c>
      <c r="G12" s="108" t="s">
        <v>2213</v>
      </c>
      <c r="H12" s="109" t="s">
        <v>2319</v>
      </c>
      <c r="I12" s="108"/>
      <c r="J12" s="115"/>
      <c r="K12" s="116"/>
      <c r="L12" s="117"/>
      <c r="M12" s="157" t="s">
        <v>2169</v>
      </c>
      <c r="N12" s="156" t="s">
        <v>2169</v>
      </c>
      <c r="O12" s="156" t="s">
        <v>2169</v>
      </c>
      <c r="P12" s="156" t="s">
        <v>2169</v>
      </c>
      <c r="Q12" s="156" t="s">
        <v>2169</v>
      </c>
      <c r="R12" s="156" t="s">
        <v>2169</v>
      </c>
      <c r="S12" s="156" t="s">
        <v>2169</v>
      </c>
    </row>
    <row r="13" spans="2:19" ht="48" customHeight="1">
      <c r="B13" s="94" t="s">
        <v>9</v>
      </c>
      <c r="C13" s="106" t="s">
        <v>10</v>
      </c>
      <c r="D13" s="107" t="s">
        <v>11</v>
      </c>
      <c r="E13" s="107" t="str">
        <f t="shared" si="0"/>
        <v>処遇加算Ⅰ特定加算Ⅱベア加算なし</v>
      </c>
      <c r="F13" s="107" t="s">
        <v>2267</v>
      </c>
      <c r="G13" s="108" t="s">
        <v>2213</v>
      </c>
      <c r="H13" s="109" t="s">
        <v>2297</v>
      </c>
      <c r="I13" s="108" t="s">
        <v>2173</v>
      </c>
      <c r="J13" s="151" t="s">
        <v>2300</v>
      </c>
      <c r="K13" s="116"/>
      <c r="L13" s="117"/>
      <c r="M13" s="156" t="s">
        <v>2324</v>
      </c>
      <c r="N13" s="156" t="s">
        <v>2169</v>
      </c>
      <c r="O13" s="156" t="s">
        <v>2169</v>
      </c>
      <c r="P13" s="156" t="s">
        <v>2169</v>
      </c>
      <c r="Q13" s="156" t="s">
        <v>2169</v>
      </c>
      <c r="R13" s="156" t="s">
        <v>2169</v>
      </c>
      <c r="S13" s="156" t="s">
        <v>2169</v>
      </c>
    </row>
    <row r="14" spans="2:19" ht="48" customHeight="1">
      <c r="B14" s="94" t="s">
        <v>267</v>
      </c>
      <c r="C14" s="106" t="s">
        <v>10</v>
      </c>
      <c r="D14" s="107" t="s">
        <v>15</v>
      </c>
      <c r="E14" s="107" t="str">
        <f t="shared" si="0"/>
        <v>処遇加算Ⅱ特定加算Ⅱベア加算</v>
      </c>
      <c r="F14" s="108" t="s">
        <v>2174</v>
      </c>
      <c r="G14" s="108" t="s">
        <v>2213</v>
      </c>
      <c r="H14" s="109" t="s">
        <v>2414</v>
      </c>
      <c r="I14" s="108" t="s">
        <v>2174</v>
      </c>
      <c r="J14" s="114" t="s">
        <v>2304</v>
      </c>
      <c r="K14" s="158"/>
      <c r="L14" s="155"/>
      <c r="M14" s="156" t="s">
        <v>2169</v>
      </c>
      <c r="N14" s="156" t="s">
        <v>2169</v>
      </c>
      <c r="O14" s="156" t="s">
        <v>2169</v>
      </c>
      <c r="P14" s="156" t="s">
        <v>2323</v>
      </c>
      <c r="Q14" s="156" t="s">
        <v>2169</v>
      </c>
      <c r="R14" s="156" t="s">
        <v>2169</v>
      </c>
      <c r="S14" s="156" t="s">
        <v>2169</v>
      </c>
    </row>
    <row r="15" spans="2:19" ht="48" customHeight="1">
      <c r="B15" s="94" t="s">
        <v>267</v>
      </c>
      <c r="C15" s="106" t="s">
        <v>10</v>
      </c>
      <c r="D15" s="107" t="s">
        <v>11</v>
      </c>
      <c r="E15" s="107" t="str">
        <f t="shared" si="0"/>
        <v>処遇加算Ⅱ特定加算Ⅱベア加算なし</v>
      </c>
      <c r="F15" s="108" t="s">
        <v>2176</v>
      </c>
      <c r="G15" s="108" t="s">
        <v>2213</v>
      </c>
      <c r="H15" s="109" t="s">
        <v>2405</v>
      </c>
      <c r="I15" s="108" t="s">
        <v>2173</v>
      </c>
      <c r="J15" s="115" t="s">
        <v>2404</v>
      </c>
      <c r="K15" s="116" t="s">
        <v>2176</v>
      </c>
      <c r="L15" s="117" t="s">
        <v>2305</v>
      </c>
      <c r="M15" s="156" t="s">
        <v>2324</v>
      </c>
      <c r="N15" s="156" t="s">
        <v>2169</v>
      </c>
      <c r="O15" s="156" t="s">
        <v>2169</v>
      </c>
      <c r="P15" s="156" t="s">
        <v>2323</v>
      </c>
      <c r="Q15" s="156" t="s">
        <v>2169</v>
      </c>
      <c r="R15" s="156" t="s">
        <v>2169</v>
      </c>
      <c r="S15" s="156" t="s">
        <v>2169</v>
      </c>
    </row>
    <row r="16" spans="2:19" ht="48" customHeight="1">
      <c r="B16" s="94" t="s">
        <v>268</v>
      </c>
      <c r="C16" s="106" t="s">
        <v>10</v>
      </c>
      <c r="D16" s="107" t="s">
        <v>15</v>
      </c>
      <c r="E16" s="107" t="str">
        <f t="shared" si="0"/>
        <v>処遇加算Ⅲ特定加算Ⅱベア加算</v>
      </c>
      <c r="F16" s="108" t="s">
        <v>2179</v>
      </c>
      <c r="G16" s="108" t="s">
        <v>2213</v>
      </c>
      <c r="H16" s="149" t="s">
        <v>2415</v>
      </c>
      <c r="I16" s="108" t="s">
        <v>2179</v>
      </c>
      <c r="J16" s="151" t="s">
        <v>2307</v>
      </c>
      <c r="K16" s="158"/>
      <c r="L16" s="155"/>
      <c r="M16" s="157" t="s">
        <v>2169</v>
      </c>
      <c r="N16" s="156" t="s">
        <v>2325</v>
      </c>
      <c r="O16" s="156" t="s">
        <v>2256</v>
      </c>
      <c r="P16" s="156" t="s">
        <v>2169</v>
      </c>
      <c r="Q16" s="156" t="s">
        <v>2169</v>
      </c>
      <c r="R16" s="156" t="s">
        <v>2169</v>
      </c>
      <c r="S16" s="156" t="s">
        <v>2169</v>
      </c>
    </row>
    <row r="17" spans="2:19" ht="48" customHeight="1">
      <c r="B17" s="94" t="s">
        <v>268</v>
      </c>
      <c r="C17" s="106" t="s">
        <v>10</v>
      </c>
      <c r="D17" s="107" t="s">
        <v>11</v>
      </c>
      <c r="E17" s="107" t="str">
        <f t="shared" si="0"/>
        <v>処遇加算Ⅲ特定加算Ⅱベア加算なし</v>
      </c>
      <c r="F17" s="108" t="s">
        <v>2182</v>
      </c>
      <c r="G17" s="112" t="s">
        <v>2213</v>
      </c>
      <c r="H17" s="149" t="s">
        <v>2406</v>
      </c>
      <c r="I17" s="108" t="s">
        <v>2179</v>
      </c>
      <c r="J17" s="110" t="s">
        <v>2403</v>
      </c>
      <c r="K17" s="118" t="s">
        <v>2182</v>
      </c>
      <c r="L17" s="152" t="s">
        <v>2306</v>
      </c>
      <c r="M17" s="156" t="s">
        <v>2324</v>
      </c>
      <c r="N17" s="156" t="s">
        <v>2325</v>
      </c>
      <c r="O17" s="156" t="s">
        <v>2256</v>
      </c>
      <c r="P17" s="156" t="s">
        <v>2169</v>
      </c>
      <c r="Q17" s="156" t="s">
        <v>2169</v>
      </c>
      <c r="R17" s="156" t="s">
        <v>2169</v>
      </c>
      <c r="S17" s="156" t="s">
        <v>2169</v>
      </c>
    </row>
    <row r="18" spans="2:19" ht="48" customHeight="1">
      <c r="B18" s="94" t="s">
        <v>9</v>
      </c>
      <c r="C18" s="106" t="s">
        <v>13</v>
      </c>
      <c r="D18" s="107" t="s">
        <v>15</v>
      </c>
      <c r="E18" s="107" t="str">
        <f t="shared" si="0"/>
        <v>処遇加算Ⅰ特定加算なしベア加算</v>
      </c>
      <c r="F18" s="120" t="s">
        <v>2214</v>
      </c>
      <c r="G18" s="112" t="s">
        <v>2213</v>
      </c>
      <c r="H18" s="121" t="s">
        <v>2308</v>
      </c>
      <c r="I18" s="122" t="s">
        <v>2214</v>
      </c>
      <c r="J18" s="109" t="s">
        <v>2309</v>
      </c>
      <c r="K18" s="108"/>
      <c r="L18" s="111"/>
      <c r="M18" s="157" t="s">
        <v>2169</v>
      </c>
      <c r="N18" s="156" t="s">
        <v>2169</v>
      </c>
      <c r="O18" s="156" t="s">
        <v>2169</v>
      </c>
      <c r="P18" s="156" t="s">
        <v>2169</v>
      </c>
      <c r="Q18" s="156" t="s">
        <v>2326</v>
      </c>
      <c r="R18" s="156" t="s">
        <v>2169</v>
      </c>
      <c r="S18" s="156" t="s">
        <v>2327</v>
      </c>
    </row>
    <row r="19" spans="2:19" ht="48" customHeight="1">
      <c r="B19" s="94" t="s">
        <v>9</v>
      </c>
      <c r="C19" s="106" t="s">
        <v>13</v>
      </c>
      <c r="D19" s="107" t="s">
        <v>11</v>
      </c>
      <c r="E19" s="107" t="str">
        <f t="shared" si="0"/>
        <v>処遇加算Ⅰ特定加算なしベア加算なし</v>
      </c>
      <c r="F19" s="120" t="s">
        <v>2268</v>
      </c>
      <c r="G19" s="116" t="s">
        <v>2213</v>
      </c>
      <c r="H19" s="123" t="s">
        <v>2298</v>
      </c>
      <c r="I19" s="122" t="s">
        <v>2214</v>
      </c>
      <c r="J19" s="109" t="s">
        <v>2313</v>
      </c>
      <c r="K19" s="108" t="s">
        <v>2178</v>
      </c>
      <c r="L19" s="110" t="s">
        <v>2310</v>
      </c>
      <c r="M19" s="156" t="s">
        <v>2324</v>
      </c>
      <c r="N19" s="156" t="s">
        <v>2169</v>
      </c>
      <c r="O19" s="156" t="s">
        <v>2169</v>
      </c>
      <c r="P19" s="156" t="s">
        <v>2169</v>
      </c>
      <c r="Q19" s="156" t="s">
        <v>2326</v>
      </c>
      <c r="R19" s="156" t="s">
        <v>2169</v>
      </c>
      <c r="S19" s="156" t="s">
        <v>2327</v>
      </c>
    </row>
    <row r="20" spans="2:19" ht="48" customHeight="1">
      <c r="B20" s="94" t="s">
        <v>267</v>
      </c>
      <c r="C20" s="106" t="s">
        <v>13</v>
      </c>
      <c r="D20" s="107" t="s">
        <v>15</v>
      </c>
      <c r="E20" s="107" t="str">
        <f t="shared" si="0"/>
        <v>処遇加算Ⅱ特定加算なしベア加算</v>
      </c>
      <c r="F20" s="108" t="s">
        <v>276</v>
      </c>
      <c r="G20" s="118" t="s">
        <v>272</v>
      </c>
      <c r="H20" s="119" t="s">
        <v>2311</v>
      </c>
      <c r="I20" s="122" t="s">
        <v>2214</v>
      </c>
      <c r="J20" s="153" t="s">
        <v>2416</v>
      </c>
      <c r="K20" s="108" t="s">
        <v>276</v>
      </c>
      <c r="L20" s="109" t="s">
        <v>2322</v>
      </c>
      <c r="M20" s="157" t="s">
        <v>2169</v>
      </c>
      <c r="N20" s="156" t="s">
        <v>2169</v>
      </c>
      <c r="O20" s="156" t="s">
        <v>2169</v>
      </c>
      <c r="P20" s="156" t="s">
        <v>2169</v>
      </c>
      <c r="Q20" s="156" t="s">
        <v>2326</v>
      </c>
      <c r="R20" s="156" t="s">
        <v>2169</v>
      </c>
      <c r="S20" s="156" t="s">
        <v>2327</v>
      </c>
    </row>
    <row r="21" spans="2:19" ht="48" customHeight="1">
      <c r="B21" s="94" t="s">
        <v>267</v>
      </c>
      <c r="C21" s="106" t="s">
        <v>13</v>
      </c>
      <c r="D21" s="107" t="s">
        <v>11</v>
      </c>
      <c r="E21" s="107" t="str">
        <f t="shared" si="0"/>
        <v>処遇加算Ⅱ特定加算なしベア加算なし</v>
      </c>
      <c r="F21" s="108" t="s">
        <v>2181</v>
      </c>
      <c r="G21" s="108" t="s">
        <v>274</v>
      </c>
      <c r="H21" s="109" t="s">
        <v>2401</v>
      </c>
      <c r="I21" s="108" t="s">
        <v>276</v>
      </c>
      <c r="J21" s="153" t="s">
        <v>2321</v>
      </c>
      <c r="K21" s="108" t="s">
        <v>2181</v>
      </c>
      <c r="L21" s="154" t="s">
        <v>2312</v>
      </c>
      <c r="M21" s="156" t="s">
        <v>2324</v>
      </c>
      <c r="N21" s="156" t="s">
        <v>2169</v>
      </c>
      <c r="O21" s="156" t="s">
        <v>2169</v>
      </c>
      <c r="P21" s="156" t="s">
        <v>2169</v>
      </c>
      <c r="Q21" s="156" t="s">
        <v>2326</v>
      </c>
      <c r="R21" s="156" t="s">
        <v>2169</v>
      </c>
      <c r="S21" s="156" t="s">
        <v>2327</v>
      </c>
    </row>
    <row r="22" spans="2:19" ht="48" customHeight="1">
      <c r="B22" s="94" t="s">
        <v>268</v>
      </c>
      <c r="C22" s="106" t="s">
        <v>13</v>
      </c>
      <c r="D22" s="107" t="s">
        <v>15</v>
      </c>
      <c r="E22" s="107" t="str">
        <f t="shared" si="0"/>
        <v>処遇加算Ⅲ特定加算なしベア加算</v>
      </c>
      <c r="F22" s="108" t="s">
        <v>2183</v>
      </c>
      <c r="G22" s="108" t="s">
        <v>274</v>
      </c>
      <c r="H22" s="109" t="s">
        <v>2418</v>
      </c>
      <c r="I22" s="108" t="s">
        <v>276</v>
      </c>
      <c r="J22" s="153" t="s">
        <v>2417</v>
      </c>
      <c r="K22" s="108" t="s">
        <v>2183</v>
      </c>
      <c r="L22" s="111" t="s">
        <v>2314</v>
      </c>
      <c r="M22" s="156" t="s">
        <v>2169</v>
      </c>
      <c r="N22" s="156" t="s">
        <v>2325</v>
      </c>
      <c r="O22" s="156" t="s">
        <v>2256</v>
      </c>
      <c r="P22" s="156" t="s">
        <v>2169</v>
      </c>
      <c r="Q22" s="156" t="s">
        <v>2326</v>
      </c>
      <c r="R22" s="156" t="s">
        <v>2169</v>
      </c>
      <c r="S22" s="156" t="s">
        <v>2327</v>
      </c>
    </row>
    <row r="23" spans="2:19" ht="48" customHeight="1">
      <c r="B23" s="94" t="s">
        <v>268</v>
      </c>
      <c r="C23" s="106" t="s">
        <v>13</v>
      </c>
      <c r="D23" s="107" t="s">
        <v>11</v>
      </c>
      <c r="E23" s="107" t="str">
        <f t="shared" si="0"/>
        <v>処遇加算Ⅲ特定加算なしベア加算なし</v>
      </c>
      <c r="F23" s="108" t="s">
        <v>2184</v>
      </c>
      <c r="G23" s="108" t="s">
        <v>276</v>
      </c>
      <c r="H23" s="109" t="s">
        <v>2407</v>
      </c>
      <c r="I23" s="108" t="s">
        <v>2181</v>
      </c>
      <c r="J23" s="110" t="s">
        <v>2402</v>
      </c>
      <c r="K23" s="108" t="s">
        <v>2184</v>
      </c>
      <c r="L23" s="111" t="s">
        <v>2315</v>
      </c>
      <c r="M23" s="156" t="s">
        <v>2324</v>
      </c>
      <c r="N23" s="156" t="s">
        <v>2325</v>
      </c>
      <c r="O23" s="156" t="s">
        <v>2256</v>
      </c>
      <c r="P23" s="156" t="s">
        <v>2169</v>
      </c>
      <c r="Q23" s="156" t="s">
        <v>2326</v>
      </c>
      <c r="R23" s="156" t="s">
        <v>2169</v>
      </c>
      <c r="S23" s="156" t="s">
        <v>2327</v>
      </c>
    </row>
    <row r="24" spans="2:19" ht="20.25" customHeight="1">
      <c r="E24" s="93"/>
      <c r="F24" s="93"/>
      <c r="G24" s="93"/>
      <c r="H24" s="92"/>
      <c r="I24" s="93"/>
      <c r="J24" s="95"/>
      <c r="K24" s="93"/>
      <c r="L24" s="92"/>
      <c r="M24" s="93"/>
      <c r="N24" s="93"/>
      <c r="O24" s="93"/>
      <c r="P24" s="93"/>
      <c r="Q24" s="93"/>
      <c r="R24" s="93"/>
      <c r="S24" s="93"/>
    </row>
    <row r="25" spans="2:19" ht="21">
      <c r="B25" s="93"/>
      <c r="C25" s="93"/>
      <c r="D25" s="93"/>
      <c r="E25" s="93"/>
      <c r="F25" s="93"/>
      <c r="G25" s="93"/>
      <c r="H25" s="92"/>
      <c r="L25" s="97">
        <v>1</v>
      </c>
      <c r="M25" s="93"/>
      <c r="N25" s="93"/>
      <c r="O25" s="93"/>
      <c r="P25" s="93"/>
      <c r="Q25" s="102" t="s">
        <v>2192</v>
      </c>
      <c r="R25" s="102" t="s">
        <v>2193</v>
      </c>
      <c r="S25" s="102"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 thickBot="1">
      <c r="A1" s="5" t="s">
        <v>313</v>
      </c>
      <c r="C1" s="1" t="s">
        <v>314</v>
      </c>
      <c r="F1" s="1" t="s">
        <v>315</v>
      </c>
    </row>
    <row r="2" spans="1:11" ht="18.5" thickBot="1">
      <c r="A2" s="65" t="s">
        <v>316</v>
      </c>
      <c r="C2" s="66" t="s">
        <v>317</v>
      </c>
      <c r="D2" s="67" t="s">
        <v>318</v>
      </c>
      <c r="F2" s="68" t="s">
        <v>319</v>
      </c>
      <c r="G2" s="69">
        <v>0.7</v>
      </c>
      <c r="H2" s="69">
        <v>0.55000000000000004</v>
      </c>
      <c r="I2" s="70">
        <v>0.45</v>
      </c>
      <c r="J2" s="66" t="s">
        <v>320</v>
      </c>
      <c r="K2" s="67" t="s">
        <v>321</v>
      </c>
    </row>
    <row r="3" spans="1:11" ht="18">
      <c r="A3" s="71" t="s">
        <v>322</v>
      </c>
      <c r="C3" s="72" t="s">
        <v>322</v>
      </c>
      <c r="D3" s="73" t="s">
        <v>323</v>
      </c>
      <c r="F3" s="72" t="s">
        <v>324</v>
      </c>
      <c r="G3" s="74">
        <v>11.4</v>
      </c>
      <c r="H3" s="74">
        <v>11.1</v>
      </c>
      <c r="I3" s="75">
        <v>10.9</v>
      </c>
      <c r="J3" s="72" t="s">
        <v>260</v>
      </c>
      <c r="K3" s="76">
        <v>0.7</v>
      </c>
    </row>
    <row r="4" spans="1:11" ht="18">
      <c r="A4" s="16" t="s">
        <v>325</v>
      </c>
      <c r="C4" s="77" t="s">
        <v>322</v>
      </c>
      <c r="D4" s="78" t="s">
        <v>326</v>
      </c>
      <c r="F4" s="77" t="s">
        <v>327</v>
      </c>
      <c r="G4" s="79">
        <v>11.4</v>
      </c>
      <c r="H4" s="79">
        <v>11.1</v>
      </c>
      <c r="I4" s="80">
        <v>10.9</v>
      </c>
      <c r="J4" s="77" t="s">
        <v>280</v>
      </c>
      <c r="K4" s="81">
        <v>0.7</v>
      </c>
    </row>
    <row r="5" spans="1:11" ht="18">
      <c r="A5" s="16" t="s">
        <v>328</v>
      </c>
      <c r="C5" s="77" t="s">
        <v>322</v>
      </c>
      <c r="D5" s="78" t="s">
        <v>329</v>
      </c>
      <c r="F5" s="77" t="s">
        <v>330</v>
      </c>
      <c r="G5" s="79">
        <v>11.4</v>
      </c>
      <c r="H5" s="79">
        <v>11.1</v>
      </c>
      <c r="I5" s="80">
        <v>10.9</v>
      </c>
      <c r="J5" s="77" t="s">
        <v>283</v>
      </c>
      <c r="K5" s="81">
        <v>0.7</v>
      </c>
    </row>
    <row r="6" spans="1:11" ht="18">
      <c r="A6" s="16" t="s">
        <v>331</v>
      </c>
      <c r="C6" s="77" t="s">
        <v>322</v>
      </c>
      <c r="D6" s="78" t="s">
        <v>332</v>
      </c>
      <c r="F6" s="77" t="s">
        <v>333</v>
      </c>
      <c r="G6" s="79">
        <v>11.4</v>
      </c>
      <c r="H6" s="79">
        <v>11.1</v>
      </c>
      <c r="I6" s="80">
        <v>10.9</v>
      </c>
      <c r="J6" s="77" t="s">
        <v>278</v>
      </c>
      <c r="K6" s="81">
        <v>0.7</v>
      </c>
    </row>
    <row r="7" spans="1:11" ht="18">
      <c r="A7" s="16" t="s">
        <v>334</v>
      </c>
      <c r="C7" s="77" t="s">
        <v>322</v>
      </c>
      <c r="D7" s="78" t="s">
        <v>335</v>
      </c>
      <c r="F7" s="77" t="s">
        <v>336</v>
      </c>
      <c r="G7" s="79">
        <v>11.4</v>
      </c>
      <c r="H7" s="79">
        <v>11.1</v>
      </c>
      <c r="I7" s="80">
        <v>10.9</v>
      </c>
      <c r="J7" s="77" t="s">
        <v>281</v>
      </c>
      <c r="K7" s="81">
        <v>0.45</v>
      </c>
    </row>
    <row r="8" spans="1:11" ht="18">
      <c r="A8" s="16" t="s">
        <v>337</v>
      </c>
      <c r="C8" s="77" t="s">
        <v>322</v>
      </c>
      <c r="D8" s="78" t="s">
        <v>338</v>
      </c>
      <c r="F8" s="77" t="s">
        <v>339</v>
      </c>
      <c r="G8" s="79">
        <v>11.4</v>
      </c>
      <c r="H8" s="79">
        <v>11.1</v>
      </c>
      <c r="I8" s="80">
        <v>10.9</v>
      </c>
      <c r="J8" s="77" t="s">
        <v>284</v>
      </c>
      <c r="K8" s="81">
        <v>0.45</v>
      </c>
    </row>
    <row r="9" spans="1:11" ht="18">
      <c r="A9" s="16" t="s">
        <v>340</v>
      </c>
      <c r="C9" s="77" t="s">
        <v>322</v>
      </c>
      <c r="D9" s="78" t="s">
        <v>341</v>
      </c>
      <c r="F9" s="77" t="s">
        <v>342</v>
      </c>
      <c r="G9" s="79">
        <v>11.4</v>
      </c>
      <c r="H9" s="79">
        <v>11.1</v>
      </c>
      <c r="I9" s="80">
        <v>10.9</v>
      </c>
      <c r="J9" s="77" t="s">
        <v>285</v>
      </c>
      <c r="K9" s="81">
        <v>0.55000000000000004</v>
      </c>
    </row>
    <row r="10" spans="1:11" ht="18">
      <c r="A10" s="16" t="s">
        <v>343</v>
      </c>
      <c r="C10" s="77" t="s">
        <v>322</v>
      </c>
      <c r="D10" s="78" t="s">
        <v>344</v>
      </c>
      <c r="F10" s="77" t="s">
        <v>345</v>
      </c>
      <c r="G10" s="79">
        <v>11.4</v>
      </c>
      <c r="H10" s="79">
        <v>11.1</v>
      </c>
      <c r="I10" s="80">
        <v>10.9</v>
      </c>
      <c r="J10" s="77" t="s">
        <v>287</v>
      </c>
      <c r="K10" s="81">
        <v>0.45</v>
      </c>
    </row>
    <row r="11" spans="1:11" ht="18">
      <c r="A11" s="16" t="s">
        <v>346</v>
      </c>
      <c r="C11" s="77" t="s">
        <v>322</v>
      </c>
      <c r="D11" s="78" t="s">
        <v>347</v>
      </c>
      <c r="F11" s="77" t="s">
        <v>348</v>
      </c>
      <c r="G11" s="79">
        <v>11.4</v>
      </c>
      <c r="H11" s="79">
        <v>11.1</v>
      </c>
      <c r="I11" s="80">
        <v>10.9</v>
      </c>
      <c r="J11" s="77" t="s">
        <v>289</v>
      </c>
      <c r="K11" s="81">
        <v>0.45</v>
      </c>
    </row>
    <row r="12" spans="1:11" ht="18">
      <c r="A12" s="16" t="s">
        <v>349</v>
      </c>
      <c r="C12" s="77" t="s">
        <v>322</v>
      </c>
      <c r="D12" s="78" t="s">
        <v>350</v>
      </c>
      <c r="F12" s="77" t="s">
        <v>351</v>
      </c>
      <c r="G12" s="79">
        <v>11.4</v>
      </c>
      <c r="H12" s="79">
        <v>11.1</v>
      </c>
      <c r="I12" s="80">
        <v>10.9</v>
      </c>
      <c r="J12" s="77" t="s">
        <v>290</v>
      </c>
      <c r="K12" s="81">
        <v>0.55000000000000004</v>
      </c>
    </row>
    <row r="13" spans="1:11" ht="18">
      <c r="A13" s="16" t="s">
        <v>352</v>
      </c>
      <c r="C13" s="77" t="s">
        <v>322</v>
      </c>
      <c r="D13" s="78" t="s">
        <v>353</v>
      </c>
      <c r="F13" s="77" t="s">
        <v>354</v>
      </c>
      <c r="G13" s="79">
        <v>11.4</v>
      </c>
      <c r="H13" s="79">
        <v>11.1</v>
      </c>
      <c r="I13" s="80">
        <v>10.9</v>
      </c>
      <c r="J13" s="77" t="s">
        <v>292</v>
      </c>
      <c r="K13" s="81">
        <v>0.55000000000000004</v>
      </c>
    </row>
    <row r="14" spans="1:11" ht="18">
      <c r="A14" s="16" t="s">
        <v>355</v>
      </c>
      <c r="C14" s="77" t="s">
        <v>322</v>
      </c>
      <c r="D14" s="78" t="s">
        <v>356</v>
      </c>
      <c r="F14" s="77" t="s">
        <v>357</v>
      </c>
      <c r="G14" s="79">
        <v>11.4</v>
      </c>
      <c r="H14" s="79">
        <v>11.1</v>
      </c>
      <c r="I14" s="80">
        <v>10.9</v>
      </c>
      <c r="J14" s="77" t="s">
        <v>294</v>
      </c>
      <c r="K14" s="81">
        <v>0.55000000000000004</v>
      </c>
    </row>
    <row r="15" spans="1:11" ht="18">
      <c r="A15" s="16" t="s">
        <v>5</v>
      </c>
      <c r="C15" s="77" t="s">
        <v>322</v>
      </c>
      <c r="D15" s="78" t="s">
        <v>358</v>
      </c>
      <c r="F15" s="77" t="s">
        <v>359</v>
      </c>
      <c r="G15" s="79">
        <v>11.4</v>
      </c>
      <c r="H15" s="79">
        <v>11.1</v>
      </c>
      <c r="I15" s="80">
        <v>10.9</v>
      </c>
      <c r="J15" s="77" t="s">
        <v>295</v>
      </c>
      <c r="K15" s="81">
        <v>0.45</v>
      </c>
    </row>
    <row r="16" spans="1:11"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5" thickBot="1">
      <c r="A24" s="16" t="s">
        <v>385</v>
      </c>
      <c r="C24" s="77" t="s">
        <v>322</v>
      </c>
      <c r="D24" s="78" t="s">
        <v>386</v>
      </c>
      <c r="F24" s="77" t="s">
        <v>387</v>
      </c>
      <c r="G24" s="79">
        <v>11.4</v>
      </c>
      <c r="H24" s="79">
        <v>11.1</v>
      </c>
      <c r="I24" s="80">
        <v>10.9</v>
      </c>
      <c r="J24" s="133" t="s">
        <v>307</v>
      </c>
      <c r="K24" s="134">
        <v>0.45</v>
      </c>
    </row>
    <row r="25" spans="1:11" ht="18">
      <c r="A25" s="16" t="s">
        <v>388</v>
      </c>
      <c r="C25" s="77" t="s">
        <v>322</v>
      </c>
      <c r="D25" s="78" t="s">
        <v>389</v>
      </c>
      <c r="F25" s="77" t="s">
        <v>390</v>
      </c>
      <c r="G25" s="79">
        <v>11.4</v>
      </c>
      <c r="H25" s="79">
        <v>11.1</v>
      </c>
      <c r="I25" s="80">
        <v>10.9</v>
      </c>
      <c r="J25" s="72" t="s">
        <v>309</v>
      </c>
      <c r="K25" s="76">
        <v>0.7</v>
      </c>
    </row>
    <row r="26" spans="1:11" ht="18.5" thickBot="1">
      <c r="A26" s="16" t="s">
        <v>391</v>
      </c>
      <c r="C26" s="77" t="s">
        <v>322</v>
      </c>
      <c r="D26" s="78" t="s">
        <v>392</v>
      </c>
      <c r="F26" s="77" t="s">
        <v>393</v>
      </c>
      <c r="G26" s="82">
        <v>11.12</v>
      </c>
      <c r="H26" s="82">
        <v>10.88</v>
      </c>
      <c r="I26" s="83">
        <v>10.72</v>
      </c>
      <c r="J26" s="84" t="s">
        <v>311</v>
      </c>
      <c r="K26" s="135">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48" width="2.58203125" style="168" customWidth="1"/>
    <col min="49"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2291</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東京都</v>
      </c>
      <c r="AJ1" s="1155"/>
      <c r="AK1" s="1155"/>
      <c r="AL1" s="1155"/>
      <c r="AM1" s="1155"/>
      <c r="AN1" s="1155"/>
      <c r="AO1" s="1155"/>
      <c r="AP1" s="1155"/>
      <c r="AS1" s="979" t="str">
        <f>B9&amp;G9&amp;L9</f>
        <v>処遇加算Ⅰ特定加算Ⅱベア加算なし</v>
      </c>
      <c r="AT1" s="980"/>
      <c r="AU1" s="980"/>
      <c r="AV1" s="980"/>
      <c r="AW1" s="980"/>
      <c r="AX1" s="980"/>
      <c r="AY1" s="980"/>
      <c r="AZ1" s="980"/>
      <c r="BA1" s="980"/>
      <c r="BB1" s="980"/>
      <c r="BC1" s="980"/>
      <c r="BD1" s="980"/>
      <c r="BE1" s="981"/>
      <c r="BF1" s="978" t="str">
        <f>IFERROR(VLOOKUP(Y5,【参考】数式用!$AJ$2:$AK$24,2,FALSE),"")</f>
        <v>訪問介護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61">
        <v>1334567890</v>
      </c>
      <c r="C5" s="1061"/>
      <c r="D5" s="1061"/>
      <c r="E5" s="1061"/>
      <c r="F5" s="1061"/>
      <c r="G5" s="1062" t="s">
        <v>4</v>
      </c>
      <c r="H5" s="1062"/>
      <c r="I5" s="1062"/>
      <c r="J5" s="1063" t="s">
        <v>5</v>
      </c>
      <c r="K5" s="1063"/>
      <c r="L5" s="1063"/>
      <c r="M5" s="1064" t="s">
        <v>6</v>
      </c>
      <c r="N5" s="1064"/>
      <c r="O5" s="1064"/>
      <c r="P5" s="1065">
        <f>IF(Y5="","",IFERROR(INDEX(【参考】数式用3!$G$3:$I$451,MATCH(M5,【参考】数式用3!$F$3:$F$451,0),MATCH(VLOOKUP(Y5,【参考】数式用3!$J$2:$K$26,2,FALSE),【参考】数式用3!$G$2:$I$2,0)),10))</f>
        <v>11.4</v>
      </c>
      <c r="Q5" s="1066"/>
      <c r="R5" s="1066"/>
      <c r="S5" s="1067" t="s">
        <v>7</v>
      </c>
      <c r="T5" s="1068"/>
      <c r="U5" s="1068"/>
      <c r="V5" s="1068"/>
      <c r="W5" s="1068"/>
      <c r="X5" s="1069"/>
      <c r="Y5" s="1048" t="s">
        <v>260</v>
      </c>
      <c r="Z5" s="1048"/>
      <c r="AA5" s="1048"/>
      <c r="AB5" s="1048"/>
      <c r="AC5" s="1048"/>
      <c r="AD5" s="1048"/>
      <c r="AE5" s="1015">
        <v>225000</v>
      </c>
      <c r="AF5" s="1016"/>
      <c r="AG5" s="1016"/>
      <c r="AH5" s="1017"/>
      <c r="AI5" s="1015">
        <v>40000</v>
      </c>
      <c r="AJ5" s="1016"/>
      <c r="AK5" s="1016"/>
      <c r="AL5" s="1017"/>
      <c r="AM5" s="1018">
        <f>AE5-AI5</f>
        <v>185000</v>
      </c>
      <c r="AN5" s="1019"/>
      <c r="AO5" s="1019"/>
      <c r="AP5" s="1020"/>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新加算Ⅱ</v>
      </c>
      <c r="W8" s="1031"/>
      <c r="X8" s="1031"/>
      <c r="Y8" s="1031"/>
      <c r="Z8" s="1032"/>
      <c r="AA8" s="1011" t="str">
        <f>IFERROR(VLOOKUP(AS1,【参考】数式用2!E6:L23,4,FALSE),"")</f>
        <v>補助金を取得する場合、４月からベア加算の算定が必要。その場合、６月以降は自然と新加算Ⅱに移行可能。</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1" t="str">
        <f>IF(OR(V8="新加算Ⅰ",V8="新加算Ⅱ",V8="新加算Ⅲ",V8="新加算Ⅴ(１)",V8="新加算Ⅴ(３)",V8="新加算Ⅴ(８)"),"○","")</f>
        <v>○</v>
      </c>
      <c r="AX8" s="1141" t="str">
        <f>IF(OR(V8="新加算Ⅰ",V8="新加算Ⅱ",V8="新加算Ⅴ(１)",V8="新加算Ⅴ(２)",V8="新加算Ⅴ(３)",V8="新加算Ⅴ(４)",V8="新加算Ⅴ(５)",V8="新加算Ⅴ(６)",V8="新加算Ⅴ(７)",V8="新加算Ⅴ(９)",V8="新加算Ⅴ(10)",V8="新加算Ⅴ(12)"),"○","")</f>
        <v>○</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v>
      </c>
      <c r="BA8" s="181"/>
      <c r="CE8" s="1147" t="s">
        <v>2388</v>
      </c>
      <c r="CF8" s="1147"/>
      <c r="CG8" s="1147"/>
      <c r="CH8" s="1147"/>
      <c r="CI8" s="957" t="str">
        <f>IF(AND(AP62=1,AL41=""),1,"")</f>
        <v/>
      </c>
      <c r="CJ8" s="958"/>
    </row>
    <row r="9" spans="1:88" ht="26.25" customHeight="1">
      <c r="B9" s="1075" t="s">
        <v>9</v>
      </c>
      <c r="C9" s="1076"/>
      <c r="D9" s="1076"/>
      <c r="E9" s="1076"/>
      <c r="F9" s="1077"/>
      <c r="G9" s="1078" t="s">
        <v>10</v>
      </c>
      <c r="H9" s="1079"/>
      <c r="I9" s="1079"/>
      <c r="J9" s="1079"/>
      <c r="K9" s="1080"/>
      <c r="L9" s="1081" t="s">
        <v>11</v>
      </c>
      <c r="M9" s="1082"/>
      <c r="N9" s="1082"/>
      <c r="O9" s="1082"/>
      <c r="P9" s="1083"/>
      <c r="Q9" s="1070" t="s">
        <v>2200</v>
      </c>
      <c r="R9" s="1071"/>
      <c r="S9" s="1071"/>
      <c r="T9" s="976"/>
      <c r="U9" s="977"/>
      <c r="V9" s="1033">
        <f>IFERROR(VLOOKUP(Y5,【参考】数式用!$A$5:$AB$27,MATCH(V8,【参考】数式用!$B$4:$AB$4,0)+1,FALSE),"")</f>
        <v>0.224</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f>IFERROR(VLOOKUP(Y5,【参考】数式用!$A$5:$J$27,MATCH(B9,【参考】数式用!$B$4:$J$4,0)+1,0),"")</f>
        <v>0.13700000000000001</v>
      </c>
      <c r="C10" s="1085"/>
      <c r="D10" s="1085"/>
      <c r="E10" s="1085"/>
      <c r="F10" s="1086"/>
      <c r="G10" s="1084">
        <f>IFERROR(VLOOKUP(Y5,【参考】数式用!$A$5:$J$27,MATCH(G9,【参考】数式用!$B$4:$J$4,0)+1,0),"")</f>
        <v>4.2000000000000003E-2</v>
      </c>
      <c r="H10" s="1085"/>
      <c r="I10" s="1085"/>
      <c r="J10" s="1085"/>
      <c r="K10" s="1086"/>
      <c r="L10" s="1084">
        <f>IFERROR(VLOOKUP(Y5,【参考】数式用!$A$5:$J$27,MATCH(L9,【参考】数式用!$B$4:$J$4,0)+1,0),"")</f>
        <v>0</v>
      </c>
      <c r="M10" s="1085"/>
      <c r="N10" s="1085"/>
      <c r="O10" s="1085"/>
      <c r="P10" s="1086"/>
      <c r="Q10" s="1090">
        <f>SUM(B10,G10,L10)</f>
        <v>0.17900000000000002</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新加算Ⅴ(３)</v>
      </c>
      <c r="W11" s="1039"/>
      <c r="X11" s="1039"/>
      <c r="Y11" s="1039"/>
      <c r="Z11" s="1039"/>
      <c r="AA11" s="1011" t="str">
        <f>IFERROR(VLOOKUP(AS1,【参考】数式用2!E6:L23,6,FALSE),"")</f>
        <v>４月からベア加算を算定せず、６月から月額賃金改善要件Ⅱも満たさない場合、Ⅴ(３)となる。なお、R7年度以降は月額賃金改善要件Ⅱが必要。</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1" t="str">
        <f>IF(OR(V11="新加算Ⅰ",V11="新加算Ⅱ",V11="新加算Ⅲ",V11="新加算Ⅴ(１)",V11="新加算Ⅴ(３)",V11="新加算Ⅴ(８)"),"○","")</f>
        <v>○</v>
      </c>
      <c r="AX11" s="1141" t="str">
        <f>IF(OR(V11="新加算Ⅰ",V11="新加算Ⅱ",V11="新加算Ⅴ(１)",V11="新加算Ⅴ(２)",V11="新加算Ⅴ(３)",V11="新加算Ⅴ(４)",V11="新加算Ⅴ(５)",V11="新加算Ⅴ(６)",V11="新加算Ⅴ(７)",V11="新加算Ⅴ(９)",V11="新加算Ⅴ(10)",V11="新加算Ⅴ(12)"),"○","")</f>
        <v>○</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60"/>
      <c r="D12" s="1060"/>
      <c r="E12" s="1060"/>
      <c r="F12" s="1060"/>
      <c r="G12" s="1060"/>
      <c r="H12" s="1060"/>
      <c r="I12" s="1060"/>
      <c r="J12" s="1060"/>
      <c r="K12" s="1060"/>
      <c r="L12" s="1060"/>
      <c r="M12" s="1060"/>
      <c r="N12" s="1060"/>
      <c r="O12" s="1060"/>
      <c r="P12" s="1060"/>
      <c r="Q12" s="1060"/>
      <c r="R12" s="1060"/>
      <c r="S12" s="1060"/>
      <c r="T12" s="1028"/>
      <c r="U12" s="977"/>
      <c r="V12" s="1038">
        <f>IFERROR(VLOOKUP(Y5,【参考】数式用!$A$5:$AB$27,MATCH(V11,【参考】数式用!$B$4:$AB$4,0)+1,FALSE),"")</f>
        <v>0.2</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f>IFERROR(VLOOKUP(AS1,【参考】数式用2!E6:L23,8,FALSE),"")</f>
        <v>0</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！R7年度以降、いずれの区分でも必要になる上、R6.4時点でのベア加算の算定がR6.2-5の補助金の要件となるため、早期の対応を推奨。</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v>1</v>
      </c>
      <c r="AH37" s="962"/>
      <c r="AI37" s="976"/>
      <c r="AJ37" s="977"/>
      <c r="AK37" s="959" t="s">
        <v>2369</v>
      </c>
      <c r="AL37" s="960"/>
      <c r="AM37" s="960"/>
      <c r="AN37" s="960"/>
      <c r="AO37" s="961">
        <v>0</v>
      </c>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特定事業所加算ⅠまたはⅡを算定する。</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処遇加算Ⅰ</v>
      </c>
      <c r="AT48" s="985"/>
      <c r="AU48" s="985"/>
      <c r="AV48" s="985"/>
      <c r="AW48" s="985" t="str">
        <f>IFERROR(IF(AND(AP61=1,AP62=1,AP63=1),"特定加算Ⅰ",IF(AND(AP61=1,AP62=2,AP63=1),"特定加算Ⅱ",IF(OR(AP61=2,AP62=2,AP63=2),"特定加算なし",""))),"")</f>
        <v>特定加算Ⅱ</v>
      </c>
      <c r="AX48" s="985"/>
      <c r="AY48" s="985"/>
      <c r="AZ48" s="985"/>
      <c r="BA48" s="985" t="str">
        <f>IFERROR(IF(OR(L9="ベア加算",AND(L9="ベア加算なし",AP57=1)),"ベア加算",IF(AP57=2,"ベア加算なし","")),"")</f>
        <v>ベア加算</v>
      </c>
      <c r="BB48" s="985"/>
      <c r="BC48" s="985"/>
      <c r="BD48" s="985"/>
      <c r="BE48" s="986" t="str">
        <f>AS48&amp;AW48&amp;BA48</f>
        <v>処遇加算Ⅰ特定加算Ⅱベア加算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処遇加算Ⅰ</v>
      </c>
      <c r="H49" s="1111"/>
      <c r="I49" s="1111"/>
      <c r="J49" s="1111"/>
      <c r="K49" s="1136"/>
      <c r="L49" s="1110" t="str">
        <f>IFERROR(IF(G9="","",IF(AND(AH61=1,AH62=1,AH63=1),"特定加算Ⅰ",IF(AND(AH61=1,AH62=2,AH63=1),"特定加算Ⅱ",IF(OR(AH61=2,AH62=2,AH63=2),"特定加算なし","")))),"")</f>
        <v>特定加算Ⅱ</v>
      </c>
      <c r="M49" s="1111"/>
      <c r="N49" s="1111"/>
      <c r="O49" s="1111"/>
      <c r="P49" s="1112"/>
      <c r="Q49" s="1113" t="str">
        <f>IFERROR(IF(OR(L9="ベア加算",AND(L9="ベア加算なし",AH57=1)),"ベア加算",IF(AH57=2,"ベア加算なし","")),"")</f>
        <v>ベア加算</v>
      </c>
      <c r="R49" s="1111"/>
      <c r="S49" s="1111"/>
      <c r="T49" s="1111"/>
      <c r="U49" s="1112"/>
      <c r="V49" s="1114" t="s">
        <v>12</v>
      </c>
      <c r="W49" s="1115"/>
      <c r="X49" s="1115"/>
      <c r="Y49" s="1115"/>
      <c r="Z49" s="1115"/>
      <c r="AA49" s="1028"/>
      <c r="AB49" s="1028"/>
      <c r="AC49" s="1008" t="str">
        <f>IFERROR(VLOOKUP(BE48,【参考】数式用2!E6:F23,2,FALSE),"")</f>
        <v>新加算Ⅱ</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1">
        <f>IFERROR(VLOOKUP(Y5,【参考】数式用!$A$5:$J$27,MATCH(G49,【参考】数式用!$B$4:$J$4,0)+1,0),"")</f>
        <v>0.13700000000000001</v>
      </c>
      <c r="H50" s="1132"/>
      <c r="I50" s="1132"/>
      <c r="J50" s="1132"/>
      <c r="K50" s="1133"/>
      <c r="L50" s="1131">
        <f>IFERROR(VLOOKUP(Y5,【参考】数式用!$A$5:$J$27,MATCH(L49,【参考】数式用!$B$4:$J$4,0)+1,0),"")</f>
        <v>4.2000000000000003E-2</v>
      </c>
      <c r="M50" s="1132"/>
      <c r="N50" s="1132"/>
      <c r="O50" s="1132"/>
      <c r="P50" s="1134"/>
      <c r="Q50" s="1135">
        <f>IFERROR(VLOOKUP(Y5,【参考】数式用!$A$5:$J$27,MATCH(Q49,【参考】数式用!$B$4:$J$4,0)+1,0),"")</f>
        <v>2.4E-2</v>
      </c>
      <c r="R50" s="1132"/>
      <c r="S50" s="1132"/>
      <c r="T50" s="1132"/>
      <c r="U50" s="1134"/>
      <c r="V50" s="1090">
        <f>SUM(G50,L50,Q50)</f>
        <v>0.20300000000000001</v>
      </c>
      <c r="W50" s="1091"/>
      <c r="X50" s="1091"/>
      <c r="Y50" s="1091"/>
      <c r="Z50" s="1091"/>
      <c r="AA50" s="1028"/>
      <c r="AB50" s="1028"/>
      <c r="AC50" s="1144">
        <f>IFERROR(VLOOKUP(Y5,【参考】数式用!$A$5:$AB$27,MATCH(AC49,【参考】数式用!$B$4:$AB$4,0)+1,FALSE),"")</f>
        <v>0.224</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001">
        <f>IFERROR(ROUNDDOWN(ROUND(AM5*G50,0)*P5,0)*H53,"")</f>
        <v>577866</v>
      </c>
      <c r="H51" s="1001"/>
      <c r="I51" s="1001"/>
      <c r="J51" s="1001"/>
      <c r="K51" s="145" t="s">
        <v>2289</v>
      </c>
      <c r="L51" s="1000">
        <f>IFERROR(ROUNDDOWN(ROUND(AM5*L50,0)*P5,0)*H53,"")</f>
        <v>177156</v>
      </c>
      <c r="M51" s="1001"/>
      <c r="N51" s="1001"/>
      <c r="O51" s="1001"/>
      <c r="P51" s="145" t="s">
        <v>2289</v>
      </c>
      <c r="Q51" s="1000">
        <f>IFERROR(ROUNDDOWN(ROUND(AM5*Q50,0)*P5,0)*H53,"")</f>
        <v>101232</v>
      </c>
      <c r="R51" s="1001"/>
      <c r="S51" s="1001"/>
      <c r="T51" s="1001"/>
      <c r="U51" s="146" t="s">
        <v>2289</v>
      </c>
      <c r="V51" s="1108">
        <f>IFERROR(SUM(G51,L51,Q51),"")</f>
        <v>856254</v>
      </c>
      <c r="W51" s="1109"/>
      <c r="X51" s="1109"/>
      <c r="Y51" s="1109"/>
      <c r="Z51" s="147" t="s">
        <v>2289</v>
      </c>
      <c r="AB51" s="148"/>
      <c r="AC51" s="1000">
        <f>IFERROR(ROUNDDOWN(ROUND(AM5*AC50,0)*P5,0)*AD53,"")</f>
        <v>4724160</v>
      </c>
      <c r="AD51" s="1001"/>
      <c r="AE51" s="1001"/>
      <c r="AF51" s="1001"/>
      <c r="AG51" s="1001"/>
      <c r="AH51" s="146" t="s">
        <v>2289</v>
      </c>
      <c r="AS51" s="988">
        <f>IFERROR(ROUNDDOWN(ROUND(AM5*(G50-B10),0)*P5,0)*H53,"")</f>
        <v>0</v>
      </c>
      <c r="AT51" s="988"/>
      <c r="AU51" s="988"/>
      <c r="AV51" s="988"/>
      <c r="AW51" s="988">
        <f>IFERROR(ROUNDDOWN(ROUND(AM5*(L50-G10),0)*P5,0)*H53,"")</f>
        <v>0</v>
      </c>
      <c r="AX51" s="988"/>
      <c r="AY51" s="988"/>
      <c r="AZ51" s="988"/>
      <c r="BA51" s="988">
        <f>IFERROR(ROUNDDOWN(ROUND(AM5*(Q50-L10),0)*P5,0)*H53,"")</f>
        <v>101232</v>
      </c>
      <c r="BB51" s="988"/>
      <c r="BC51" s="988"/>
      <c r="BD51" s="988"/>
      <c r="BE51" s="988">
        <f>IFERROR(ROUNDDOWN(ROUND(AM5*(AC50-Q10),0)*P5,0)*AD53,"")</f>
        <v>949050</v>
      </c>
      <c r="BF51" s="988"/>
      <c r="BG51" s="988"/>
      <c r="BH51" s="988"/>
      <c r="BI51" s="988">
        <f>SUM(AS51:BH51)</f>
        <v>1050282</v>
      </c>
      <c r="BJ51" s="988"/>
      <c r="BK51" s="988"/>
      <c r="BL51" s="988"/>
      <c r="BM51" s="232"/>
      <c r="BN51" s="988">
        <f>IFERROR(ROUNDDOWN(ROUNDDOWN(ROUND(AM5*(VLOOKUP(Y5,【参考】数式用!$A$5:$AB$27,14,FALSE)),0)*P5,0)*AD53*0.5,0),"")</f>
        <v>1529025</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(288,933円/月)</v>
      </c>
      <c r="H52" s="999"/>
      <c r="I52" s="999"/>
      <c r="J52" s="999"/>
      <c r="K52" s="999"/>
      <c r="L52" s="999" t="str">
        <f>IFERROR("("&amp;TEXT(L51/H53,"#,##0円")&amp;"/月)","")</f>
        <v>(88,578円/月)</v>
      </c>
      <c r="M52" s="999"/>
      <c r="N52" s="999"/>
      <c r="O52" s="999"/>
      <c r="P52" s="999"/>
      <c r="Q52" s="999" t="str">
        <f>IFERROR("("&amp;TEXT(Q51/H53,"#,##0円")&amp;"/月)","")</f>
        <v>(50,616円/月)</v>
      </c>
      <c r="R52" s="999"/>
      <c r="S52" s="999"/>
      <c r="T52" s="999"/>
      <c r="U52" s="999"/>
      <c r="V52" s="999" t="str">
        <f>IFERROR("("&amp;TEXT(V51/H53,"#,##0円")&amp;"/月)","")</f>
        <v>(428,127円/月)</v>
      </c>
      <c r="W52" s="999"/>
      <c r="X52" s="999"/>
      <c r="Y52" s="999"/>
      <c r="Z52" s="999"/>
      <c r="AB52" s="148"/>
      <c r="AC52" s="1002" t="str">
        <f>IFERROR("("&amp;TEXT(AC51/AD53,"#,##0円")&amp;"/月)","")</f>
        <v>(472,416円/月)</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6" ht="16" customHeight="1">
      <c r="U57" s="983" t="s">
        <v>2203</v>
      </c>
      <c r="V57" s="983"/>
      <c r="W57" s="983"/>
      <c r="X57" s="983"/>
      <c r="Y57" s="983"/>
      <c r="Z57" s="243">
        <f>IF(AND(B9&lt;&gt;"処遇加算なし",F15=4),IF(V21="✓",1,IF(V22="✓",2,"")),"")</f>
        <v>2</v>
      </c>
      <c r="AA57" s="236"/>
      <c r="AB57" s="240"/>
      <c r="AC57" s="983" t="s">
        <v>2203</v>
      </c>
      <c r="AD57" s="983"/>
      <c r="AE57" s="983"/>
      <c r="AF57" s="983"/>
      <c r="AG57" s="983"/>
      <c r="AH57" s="167">
        <v>1</v>
      </c>
      <c r="AI57" s="240"/>
      <c r="AJ57" s="240"/>
      <c r="AK57" s="983" t="s">
        <v>2203</v>
      </c>
      <c r="AL57" s="983"/>
      <c r="AM57" s="983"/>
      <c r="AN57" s="983"/>
      <c r="AO57" s="983"/>
      <c r="AP57" s="167">
        <v>1</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6" customHeight="1">
      <c r="U58" s="992" t="s">
        <v>2204</v>
      </c>
      <c r="V58" s="992"/>
      <c r="W58" s="992"/>
      <c r="X58" s="992"/>
      <c r="Y58" s="992"/>
      <c r="Z58" s="243">
        <f>IF(AND(B9&lt;&gt;"処遇加算なし",F15=4),IF(V24="✓",1,IF(V25="✓",2,IF(V26="✓",3,""))),"")</f>
        <v>1</v>
      </c>
      <c r="AA58" s="236"/>
      <c r="AB58" s="240"/>
      <c r="AC58" s="992" t="s">
        <v>2204</v>
      </c>
      <c r="AD58" s="992"/>
      <c r="AE58" s="992"/>
      <c r="AF58" s="992"/>
      <c r="AG58" s="992"/>
      <c r="AH58" s="167">
        <v>1</v>
      </c>
      <c r="AI58" s="240"/>
      <c r="AJ58" s="240"/>
      <c r="AK58" s="992" t="s">
        <v>2204</v>
      </c>
      <c r="AL58" s="992"/>
      <c r="AM58" s="992"/>
      <c r="AN58" s="992"/>
      <c r="AO58" s="992"/>
      <c r="AP58" s="167">
        <v>1</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6" customHeight="1">
      <c r="U59" s="992" t="s">
        <v>2205</v>
      </c>
      <c r="V59" s="992"/>
      <c r="W59" s="992"/>
      <c r="X59" s="992"/>
      <c r="Y59" s="992"/>
      <c r="Z59" s="243">
        <f>IF(AND(B9&lt;&gt;"処遇加算なし",F15=4),IF(V28="✓",1,IF(V29="✓",2,IF(V30="✓",3,""))),"")</f>
        <v>1</v>
      </c>
      <c r="AA59" s="236"/>
      <c r="AB59" s="240"/>
      <c r="AC59" s="992" t="s">
        <v>2205</v>
      </c>
      <c r="AD59" s="992"/>
      <c r="AE59" s="992"/>
      <c r="AF59" s="992"/>
      <c r="AG59" s="992"/>
      <c r="AH59" s="167">
        <v>1</v>
      </c>
      <c r="AI59" s="240"/>
      <c r="AJ59" s="240"/>
      <c r="AK59" s="992" t="s">
        <v>2205</v>
      </c>
      <c r="AL59" s="992"/>
      <c r="AM59" s="992"/>
      <c r="AN59" s="992"/>
      <c r="AO59" s="992"/>
      <c r="AP59" s="167">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6" customHeight="1">
      <c r="U60" s="992" t="s">
        <v>2206</v>
      </c>
      <c r="V60" s="992"/>
      <c r="W60" s="992"/>
      <c r="X60" s="992"/>
      <c r="Y60" s="992"/>
      <c r="Z60" s="243">
        <f>IF(AND(B9&lt;&gt;"処遇加算なし",F15=4),IF(V32="✓",1,IF(V33="✓",2,"")),"")</f>
        <v>1</v>
      </c>
      <c r="AA60" s="236"/>
      <c r="AB60" s="240"/>
      <c r="AC60" s="992" t="s">
        <v>2206</v>
      </c>
      <c r="AD60" s="992"/>
      <c r="AE60" s="992"/>
      <c r="AF60" s="992"/>
      <c r="AG60" s="992"/>
      <c r="AH60" s="167">
        <v>1</v>
      </c>
      <c r="AI60" s="240"/>
      <c r="AJ60" s="240"/>
      <c r="AK60" s="992" t="s">
        <v>2206</v>
      </c>
      <c r="AL60" s="992"/>
      <c r="AM60" s="992"/>
      <c r="AN60" s="992"/>
      <c r="AO60" s="992"/>
      <c r="AP60" s="167">
        <v>1</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6" customHeight="1">
      <c r="U61" s="992" t="s">
        <v>2207</v>
      </c>
      <c r="V61" s="992"/>
      <c r="W61" s="992"/>
      <c r="X61" s="992"/>
      <c r="Y61" s="992"/>
      <c r="Z61" s="243">
        <f>IF(AND(B9&lt;&gt;"処遇加算なし",F15=4),IF(V36="✓",1,IF(V37="✓",2,"")),"")</f>
        <v>1</v>
      </c>
      <c r="AA61" s="236"/>
      <c r="AB61" s="240"/>
      <c r="AC61" s="992" t="s">
        <v>2207</v>
      </c>
      <c r="AD61" s="992"/>
      <c r="AE61" s="992"/>
      <c r="AF61" s="992"/>
      <c r="AG61" s="992"/>
      <c r="AH61" s="167">
        <v>1</v>
      </c>
      <c r="AI61" s="240"/>
      <c r="AJ61" s="240"/>
      <c r="AK61" s="992" t="s">
        <v>2207</v>
      </c>
      <c r="AL61" s="992"/>
      <c r="AM61" s="992"/>
      <c r="AN61" s="992"/>
      <c r="AO61" s="992"/>
      <c r="AP61" s="167">
        <v>1</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6" customHeight="1">
      <c r="U62" s="992" t="s">
        <v>2208</v>
      </c>
      <c r="V62" s="992"/>
      <c r="W62" s="992"/>
      <c r="X62" s="992"/>
      <c r="Y62" s="992"/>
      <c r="Z62" s="243">
        <f>IF(AND(B9&lt;&gt;"処遇加算なし",F15=4),IF(V40="✓",1,IF(V41="✓",2,"")),"")</f>
        <v>2</v>
      </c>
      <c r="AA62" s="236"/>
      <c r="AB62" s="240"/>
      <c r="AC62" s="992" t="s">
        <v>2208</v>
      </c>
      <c r="AD62" s="992"/>
      <c r="AE62" s="992"/>
      <c r="AF62" s="992"/>
      <c r="AG62" s="992"/>
      <c r="AH62" s="167">
        <v>2</v>
      </c>
      <c r="AI62" s="240"/>
      <c r="AJ62" s="240"/>
      <c r="AK62" s="992" t="s">
        <v>2208</v>
      </c>
      <c r="AL62" s="992"/>
      <c r="AM62" s="992"/>
      <c r="AN62" s="992"/>
      <c r="AO62" s="992"/>
      <c r="AP62" s="167">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6" customHeight="1">
      <c r="U63" s="983" t="s">
        <v>2209</v>
      </c>
      <c r="V63" s="983"/>
      <c r="W63" s="983"/>
      <c r="X63" s="983"/>
      <c r="Y63" s="983"/>
      <c r="Z63" s="243">
        <f>IF(AND(B9&lt;&gt;"処遇加算なし",F15=4),IF(V44="✓",1,IF(V45="✓",2,"")),"")</f>
        <v>1</v>
      </c>
      <c r="AA63" s="236"/>
      <c r="AB63" s="240"/>
      <c r="AC63" s="983" t="s">
        <v>2209</v>
      </c>
      <c r="AD63" s="983"/>
      <c r="AE63" s="983"/>
      <c r="AF63" s="983"/>
      <c r="AG63" s="983"/>
      <c r="AH63" s="167">
        <v>1</v>
      </c>
      <c r="AI63" s="240"/>
      <c r="AJ63" s="240"/>
      <c r="AK63" s="983" t="s">
        <v>2209</v>
      </c>
      <c r="AL63" s="983"/>
      <c r="AM63" s="983"/>
      <c r="AN63" s="983"/>
      <c r="AO63" s="983"/>
      <c r="AP63" s="167">
        <v>1</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6" customHeight="1">
      <c r="BP64" s="193"/>
      <c r="BQ64" s="193"/>
      <c r="BR64" s="193"/>
      <c r="BS64" s="193"/>
      <c r="BT64" s="193"/>
      <c r="BU64" s="193"/>
      <c r="BV64" s="193"/>
      <c r="BW64" s="193"/>
      <c r="BX64" s="193"/>
      <c r="BY64" s="193"/>
      <c r="BZ64" s="193"/>
      <c r="CA64" s="193"/>
      <c r="CB64" s="193"/>
      <c r="CC64" s="193"/>
      <c r="CD64" s="193"/>
      <c r="CE64" s="193"/>
      <c r="CF64" s="193"/>
    </row>
    <row r="65" spans="20:71" ht="16" customHeight="1">
      <c r="BS65" s="193"/>
    </row>
    <row r="66" spans="20:71" ht="16" customHeight="1"/>
    <row r="67" spans="20:71" ht="16" customHeight="1">
      <c r="T67" s="168">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12700</xdr:colOff>
                    <xdr:row>30</xdr:row>
                    <xdr:rowOff>76200</xdr:rowOff>
                  </from>
                  <to>
                    <xdr:col>39</xdr:col>
                    <xdr:colOff>31750</xdr:colOff>
                    <xdr:row>34</xdr:row>
                    <xdr:rowOff>38100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2423</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東京都</v>
      </c>
      <c r="AJ1" s="1155"/>
      <c r="AK1" s="1155"/>
      <c r="AL1" s="1155"/>
      <c r="AM1" s="1155"/>
      <c r="AN1" s="1155"/>
      <c r="AO1" s="1155"/>
      <c r="AP1" s="1155"/>
      <c r="AS1" s="979" t="str">
        <f>B9&amp;G9&amp;L9</f>
        <v>処遇加算Ⅱ特定加算なしベア加算</v>
      </c>
      <c r="AT1" s="980"/>
      <c r="AU1" s="980"/>
      <c r="AV1" s="980"/>
      <c r="AW1" s="980"/>
      <c r="AX1" s="980"/>
      <c r="AY1" s="980"/>
      <c r="AZ1" s="980"/>
      <c r="BA1" s="980"/>
      <c r="BB1" s="980"/>
      <c r="BC1" s="980"/>
      <c r="BD1" s="980"/>
      <c r="BE1" s="981"/>
      <c r="BF1" s="978" t="str">
        <f>IFERROR(VLOOKUP(Y5,【参考】数式用!$AJ$2:$AK$24,2,FALSE),"")</f>
        <v>通所介護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f>IF(AND(L9="ベア加算",Q49="ベア加算"),1,"")</f>
        <v>1</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61">
        <v>1334567891</v>
      </c>
      <c r="C5" s="1061"/>
      <c r="D5" s="1061"/>
      <c r="E5" s="1061"/>
      <c r="F5" s="1061"/>
      <c r="G5" s="1062" t="s">
        <v>4</v>
      </c>
      <c r="H5" s="1062"/>
      <c r="I5" s="1062"/>
      <c r="J5" s="1063" t="s">
        <v>5</v>
      </c>
      <c r="K5" s="1063"/>
      <c r="L5" s="1063"/>
      <c r="M5" s="1064" t="s">
        <v>6</v>
      </c>
      <c r="N5" s="1064"/>
      <c r="O5" s="1064"/>
      <c r="P5" s="1065">
        <f>IF(Y5="","",IFERROR(INDEX(【参考】数式用3!$G$3:$I$451,MATCH(M5,【参考】数式用3!$F$3:$F$451,0),MATCH(VLOOKUP(Y5,【参考】数式用3!$J$2:$K$26,2,FALSE),【参考】数式用3!$G$2:$I$2,0)),10))</f>
        <v>10.9</v>
      </c>
      <c r="Q5" s="1066"/>
      <c r="R5" s="1066"/>
      <c r="S5" s="1067" t="s">
        <v>2431</v>
      </c>
      <c r="T5" s="1068"/>
      <c r="U5" s="1068"/>
      <c r="V5" s="1068"/>
      <c r="W5" s="1068"/>
      <c r="X5" s="1069"/>
      <c r="Y5" s="1048" t="s">
        <v>281</v>
      </c>
      <c r="Z5" s="1048"/>
      <c r="AA5" s="1048"/>
      <c r="AB5" s="1048"/>
      <c r="AC5" s="1048"/>
      <c r="AD5" s="1048"/>
      <c r="AE5" s="1015">
        <v>385000</v>
      </c>
      <c r="AF5" s="1016"/>
      <c r="AG5" s="1016"/>
      <c r="AH5" s="1017"/>
      <c r="AI5" s="1015">
        <v>80000</v>
      </c>
      <c r="AJ5" s="1016"/>
      <c r="AK5" s="1016"/>
      <c r="AL5" s="1017"/>
      <c r="AM5" s="1018">
        <f>AE5-AI5</f>
        <v>305000</v>
      </c>
      <c r="AN5" s="1019"/>
      <c r="AO5" s="1019"/>
      <c r="AP5" s="1020"/>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新加算Ⅱ</v>
      </c>
      <c r="W8" s="1031"/>
      <c r="X8" s="1031"/>
      <c r="Y8" s="1031"/>
      <c r="Z8" s="1032"/>
      <c r="AA8" s="101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1" t="str">
        <f>IF(OR(V8="新加算Ⅰ",V8="新加算Ⅱ",V8="新加算Ⅲ",V8="新加算Ⅴ(１)",V8="新加算Ⅴ(３)",V8="新加算Ⅴ(８)"),"○","")</f>
        <v>○</v>
      </c>
      <c r="AX8" s="1141" t="str">
        <f>IF(OR(V8="新加算Ⅰ",V8="新加算Ⅱ",V8="新加算Ⅴ(１)",V8="新加算Ⅴ(２)",V8="新加算Ⅴ(３)",V8="新加算Ⅴ(４)",V8="新加算Ⅴ(５)",V8="新加算Ⅴ(６)",V8="新加算Ⅴ(７)",V8="新加算Ⅴ(９)",V8="新加算Ⅴ(10)",V8="新加算Ⅴ(12)"),"○","")</f>
        <v>○</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v>
      </c>
      <c r="BA8" s="181"/>
      <c r="CE8" s="1147" t="s">
        <v>2388</v>
      </c>
      <c r="CF8" s="1147"/>
      <c r="CG8" s="1147"/>
      <c r="CH8" s="1147"/>
      <c r="CI8" s="957" t="str">
        <f>IF(AND(AP62=1,AL41=""),1,"")</f>
        <v/>
      </c>
      <c r="CJ8" s="958"/>
    </row>
    <row r="9" spans="1:88" ht="26.25" customHeight="1">
      <c r="B9" s="1075" t="s">
        <v>267</v>
      </c>
      <c r="C9" s="1076"/>
      <c r="D9" s="1076"/>
      <c r="E9" s="1076"/>
      <c r="F9" s="1077"/>
      <c r="G9" s="1078" t="s">
        <v>13</v>
      </c>
      <c r="H9" s="1079"/>
      <c r="I9" s="1079"/>
      <c r="J9" s="1079"/>
      <c r="K9" s="1080"/>
      <c r="L9" s="1081" t="s">
        <v>15</v>
      </c>
      <c r="M9" s="1082"/>
      <c r="N9" s="1082"/>
      <c r="O9" s="1082"/>
      <c r="P9" s="1083"/>
      <c r="Q9" s="1070" t="s">
        <v>2200</v>
      </c>
      <c r="R9" s="1071"/>
      <c r="S9" s="1071"/>
      <c r="T9" s="976"/>
      <c r="U9" s="977"/>
      <c r="V9" s="1033">
        <f>IFERROR(VLOOKUP(Y5,【参考】数式用!$A$5:$AB$27,MATCH(V8,【参考】数式用!$B$4:$AB$4,0)+1,FALSE),"")</f>
        <v>8.9999999999999983E-2</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f>IFERROR(VLOOKUP(Y5,【参考】数式用!$A$5:$J$27,MATCH(B9,【参考】数式用!$B$4:$J$4,0)+1,0),"")</f>
        <v>4.2999999999999997E-2</v>
      </c>
      <c r="C10" s="1085"/>
      <c r="D10" s="1085"/>
      <c r="E10" s="1085"/>
      <c r="F10" s="1086"/>
      <c r="G10" s="1084">
        <f>IFERROR(VLOOKUP(Y5,【参考】数式用!$A$5:$J$27,MATCH(G9,【参考】数式用!$B$4:$J$4,0)+1,0),"")</f>
        <v>0</v>
      </c>
      <c r="H10" s="1085"/>
      <c r="I10" s="1085"/>
      <c r="J10" s="1085"/>
      <c r="K10" s="1086"/>
      <c r="L10" s="1084">
        <f>IFERROR(VLOOKUP(Y5,【参考】数式用!$A$5:$J$27,MATCH(L9,【参考】数式用!$B$4:$J$4,0)+1,0),"")</f>
        <v>1.0999999999999999E-2</v>
      </c>
      <c r="M10" s="1085"/>
      <c r="N10" s="1085"/>
      <c r="O10" s="1085"/>
      <c r="P10" s="1086"/>
      <c r="Q10" s="1090">
        <f>SUM(B10,G10,L10)</f>
        <v>5.3999999999999992E-2</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新加算Ⅲ</v>
      </c>
      <c r="W11" s="1039"/>
      <c r="X11" s="1039"/>
      <c r="Y11" s="1039"/>
      <c r="Z11" s="1039"/>
      <c r="AA11" s="1011" t="str">
        <f>IFERROR(VLOOKUP(AS1,【参考】数式用2!E6:L23,6,FALSE),"")</f>
        <v>キャリアパス要件Ⅲを「R6年度中の対応の誓約」で満たし、４月から旧処遇加算Ⅰを算定可。その場合、６月以降は自然と新加算Ⅲに移行可能。</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1" t="str">
        <f>IF(OR(V11="新加算Ⅰ",V11="新加算Ⅱ",V11="新加算Ⅲ",V11="新加算Ⅴ(１)",V11="新加算Ⅴ(３)",V11="新加算Ⅴ(８)"),"○","")</f>
        <v>○</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60"/>
      <c r="D12" s="1060"/>
      <c r="E12" s="1060"/>
      <c r="F12" s="1060"/>
      <c r="G12" s="1060"/>
      <c r="H12" s="1060"/>
      <c r="I12" s="1060"/>
      <c r="J12" s="1060"/>
      <c r="K12" s="1060"/>
      <c r="L12" s="1060"/>
      <c r="M12" s="1060"/>
      <c r="N12" s="1060"/>
      <c r="O12" s="1060"/>
      <c r="P12" s="1060"/>
      <c r="Q12" s="1060"/>
      <c r="R12" s="1060"/>
      <c r="S12" s="1060"/>
      <c r="T12" s="1028"/>
      <c r="U12" s="977"/>
      <c r="V12" s="1038">
        <f>IFERROR(VLOOKUP(Y5,【参考】数式用!$A$5:$AB$27,MATCH(V11,【参考】数式用!$B$4:$AB$4,0)+1,FALSE),"")</f>
        <v>7.9999999999999988E-2</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新加算Ⅳ</v>
      </c>
      <c r="W14" s="1039"/>
      <c r="X14" s="1039"/>
      <c r="Y14" s="1039"/>
      <c r="Z14" s="1039"/>
      <c r="AA14" s="102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f>IFERROR(VLOOKUP(Y5,【参考】数式用!$A$5:$AB$27,MATCH(V14,【参考】数式用!$B$4:$AB$4,0)+1,FALSE),"")</f>
        <v>6.3999999999999987E-2</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v>
      </c>
      <c r="W37" s="994" t="s">
        <v>17</v>
      </c>
      <c r="X37" s="995"/>
      <c r="Y37" s="995"/>
      <c r="Z37" s="996"/>
      <c r="AA37" s="976"/>
      <c r="AB37" s="977"/>
      <c r="AC37" s="959" t="s">
        <v>2369</v>
      </c>
      <c r="AD37" s="960"/>
      <c r="AE37" s="960"/>
      <c r="AF37" s="960"/>
      <c r="AG37" s="961">
        <v>1</v>
      </c>
      <c r="AH37" s="962"/>
      <c r="AI37" s="976"/>
      <c r="AJ37" s="977"/>
      <c r="AK37" s="959" t="s">
        <v>2369</v>
      </c>
      <c r="AL37" s="960"/>
      <c r="AM37" s="960"/>
      <c r="AN37" s="960"/>
      <c r="AO37" s="961">
        <v>1</v>
      </c>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サービス提供体制強化加算ⅠまたはⅡを算定する。</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v>
      </c>
      <c r="W41" s="994" t="s">
        <v>17</v>
      </c>
      <c r="X41" s="995"/>
      <c r="Y41" s="995"/>
      <c r="Z41" s="996"/>
      <c r="AA41" s="976"/>
      <c r="AB41" s="977"/>
      <c r="AC41" s="225" t="s">
        <v>90</v>
      </c>
      <c r="AD41" s="1005" t="s">
        <v>2271</v>
      </c>
      <c r="AE41" s="1006"/>
      <c r="AF41" s="1006"/>
      <c r="AG41" s="1006"/>
      <c r="AH41" s="1007"/>
      <c r="AI41" s="976"/>
      <c r="AJ41" s="977"/>
      <c r="AK41" s="225" t="s">
        <v>90</v>
      </c>
      <c r="AL41" s="1005" t="s">
        <v>2271</v>
      </c>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処遇加算Ⅰ</v>
      </c>
      <c r="AT48" s="985"/>
      <c r="AU48" s="985"/>
      <c r="AV48" s="985"/>
      <c r="AW48" s="985" t="str">
        <f>IFERROR(IF(AND(AP61=1,AP62=1,AP63=1),"特定加算Ⅰ",IF(AND(AP61=1,AP62=2,AP63=1),"特定加算Ⅱ",IF(OR(AP61=2,AP62=2,AP63=2),"特定加算なし",""))),"")</f>
        <v>特定加算Ⅱ</v>
      </c>
      <c r="AX48" s="985"/>
      <c r="AY48" s="985"/>
      <c r="AZ48" s="985"/>
      <c r="BA48" s="985" t="str">
        <f>IFERROR(IF(OR(L9="ベア加算",AND(L9="ベア加算なし",AP57=1)),"ベア加算",IF(AP57=2,"ベア加算なし","")),"")</f>
        <v>ベア加算</v>
      </c>
      <c r="BB48" s="985"/>
      <c r="BC48" s="985"/>
      <c r="BD48" s="985"/>
      <c r="BE48" s="986" t="str">
        <f>AS48&amp;AW48&amp;BA48</f>
        <v>処遇加算Ⅰ特定加算Ⅱベア加算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処遇加算Ⅰ</v>
      </c>
      <c r="H49" s="1111"/>
      <c r="I49" s="1111"/>
      <c r="J49" s="1111"/>
      <c r="K49" s="1136"/>
      <c r="L49" s="1110" t="str">
        <f>IFERROR(IF(G9="","",IF(AND(AH61=1,AH62=1,AH63=1),"特定加算Ⅰ",IF(AND(AH61=1,AH62=2,AH63=1),"特定加算Ⅱ",IF(OR(AH61=2,AH62=2,AH63=2),"特定加算なし","")))),"")</f>
        <v>特定加算Ⅱ</v>
      </c>
      <c r="M49" s="1111"/>
      <c r="N49" s="1111"/>
      <c r="O49" s="1111"/>
      <c r="P49" s="1112"/>
      <c r="Q49" s="1113" t="str">
        <f>IFERROR(IF(OR(L9="ベア加算",AND(L9="ベア加算なし",AH57=1)),"ベア加算",IF(AH57=2,"ベア加算なし","")),"")</f>
        <v>ベア加算</v>
      </c>
      <c r="R49" s="1111"/>
      <c r="S49" s="1111"/>
      <c r="T49" s="1111"/>
      <c r="U49" s="1112"/>
      <c r="V49" s="1114" t="s">
        <v>12</v>
      </c>
      <c r="W49" s="1115"/>
      <c r="X49" s="1115"/>
      <c r="Y49" s="1115"/>
      <c r="Z49" s="1115"/>
      <c r="AA49" s="1028"/>
      <c r="AB49" s="1028"/>
      <c r="AC49" s="1008" t="str">
        <f>IFERROR(VLOOKUP(BE48,【参考】数式用2!E6:F23,2,FALSE),"")</f>
        <v>新加算Ⅱ</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1">
        <f>IFERROR(VLOOKUP(Y5,【参考】数式用!$A$5:$J$27,MATCH(G49,【参考】数式用!$B$4:$J$4,0)+1,0),"")</f>
        <v>5.8999999999999997E-2</v>
      </c>
      <c r="H50" s="1132"/>
      <c r="I50" s="1132"/>
      <c r="J50" s="1132"/>
      <c r="K50" s="1133"/>
      <c r="L50" s="1131">
        <f>IFERROR(VLOOKUP(Y5,【参考】数式用!$A$5:$J$27,MATCH(L49,【参考】数式用!$B$4:$J$4,0)+1,0),"")</f>
        <v>0.01</v>
      </c>
      <c r="M50" s="1132"/>
      <c r="N50" s="1132"/>
      <c r="O50" s="1132"/>
      <c r="P50" s="1134"/>
      <c r="Q50" s="1135">
        <f>IFERROR(VLOOKUP(Y5,【参考】数式用!$A$5:$J$27,MATCH(Q49,【参考】数式用!$B$4:$J$4,0)+1,0),"")</f>
        <v>1.0999999999999999E-2</v>
      </c>
      <c r="R50" s="1132"/>
      <c r="S50" s="1132"/>
      <c r="T50" s="1132"/>
      <c r="U50" s="1134"/>
      <c r="V50" s="1090">
        <f>SUM(G50,L50,Q50)</f>
        <v>7.9999999999999988E-2</v>
      </c>
      <c r="W50" s="1091"/>
      <c r="X50" s="1091"/>
      <c r="Y50" s="1091"/>
      <c r="Z50" s="1091"/>
      <c r="AA50" s="1028"/>
      <c r="AB50" s="1028"/>
      <c r="AC50" s="1144">
        <f>IFERROR(VLOOKUP(Y5,【参考】数式用!$A$5:$AB$27,MATCH(AC49,【参考】数式用!$B$4:$AB$4,0)+1,FALSE),"")</f>
        <v>8.9999999999999983E-2</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001">
        <f>IFERROR(ROUNDDOWN(ROUND(AM5*G50,0)*P5,0)*H53,"")</f>
        <v>392290</v>
      </c>
      <c r="H51" s="1001"/>
      <c r="I51" s="1001"/>
      <c r="J51" s="1001"/>
      <c r="K51" s="145" t="s">
        <v>2289</v>
      </c>
      <c r="L51" s="1000">
        <f>IFERROR(ROUNDDOWN(ROUND(AM5*L50,0)*P5,0)*H53,"")</f>
        <v>66490</v>
      </c>
      <c r="M51" s="1001"/>
      <c r="N51" s="1001"/>
      <c r="O51" s="1001"/>
      <c r="P51" s="145" t="s">
        <v>2289</v>
      </c>
      <c r="Q51" s="1000">
        <f>IFERROR(ROUNDDOWN(ROUND(AM5*Q50,0)*P5,0)*H53,"")</f>
        <v>73138</v>
      </c>
      <c r="R51" s="1001"/>
      <c r="S51" s="1001"/>
      <c r="T51" s="1001"/>
      <c r="U51" s="146" t="s">
        <v>2289</v>
      </c>
      <c r="V51" s="1108">
        <f>IFERROR(SUM(G51,L51,Q51),"")</f>
        <v>531918</v>
      </c>
      <c r="W51" s="1109"/>
      <c r="X51" s="1109"/>
      <c r="Y51" s="1109"/>
      <c r="Z51" s="147" t="s">
        <v>2289</v>
      </c>
      <c r="AB51" s="148"/>
      <c r="AC51" s="1000">
        <f>IFERROR(ROUNDDOWN(ROUND(AM5*AC50,0)*P5,0)*AD53,"")</f>
        <v>2992050</v>
      </c>
      <c r="AD51" s="1001"/>
      <c r="AE51" s="1001"/>
      <c r="AF51" s="1001"/>
      <c r="AG51" s="1001"/>
      <c r="AH51" s="146" t="s">
        <v>2289</v>
      </c>
      <c r="AS51" s="988">
        <f>IFERROR(ROUNDDOWN(ROUND(AM5*(G50-B10),0)*P5,0)*H53,"")</f>
        <v>106384</v>
      </c>
      <c r="AT51" s="988"/>
      <c r="AU51" s="988"/>
      <c r="AV51" s="988"/>
      <c r="AW51" s="988">
        <f>IFERROR(ROUNDDOWN(ROUND(AM5*(L50-G10),0)*P5,0)*H53,"")</f>
        <v>66490</v>
      </c>
      <c r="AX51" s="988"/>
      <c r="AY51" s="988"/>
      <c r="AZ51" s="988"/>
      <c r="BA51" s="988">
        <f>IFERROR(ROUNDDOWN(ROUND(AM5*(Q50-L10),0)*P5,0)*H53,"")</f>
        <v>0</v>
      </c>
      <c r="BB51" s="988"/>
      <c r="BC51" s="988"/>
      <c r="BD51" s="988"/>
      <c r="BE51" s="988">
        <f>IFERROR(ROUNDDOWN(ROUND(AM5*(AC50-Q10),0)*P5,0)*AD53,"")</f>
        <v>1196820</v>
      </c>
      <c r="BF51" s="988"/>
      <c r="BG51" s="988"/>
      <c r="BH51" s="988"/>
      <c r="BI51" s="988">
        <f>SUM(AS51:BH51)</f>
        <v>1369694</v>
      </c>
      <c r="BJ51" s="988"/>
      <c r="BK51" s="988"/>
      <c r="BL51" s="988"/>
      <c r="BM51" s="232"/>
      <c r="BN51" s="988">
        <f>IFERROR(ROUNDDOWN(ROUNDDOWN(ROUND(AM5*(VLOOKUP(Y5,【参考】数式用!$A$5:$AB$27,14,FALSE)),0)*P5,0)*AD53*0.5,0),"")</f>
        <v>1063840</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(196,145円/月)</v>
      </c>
      <c r="H52" s="999"/>
      <c r="I52" s="999"/>
      <c r="J52" s="999"/>
      <c r="K52" s="999"/>
      <c r="L52" s="999" t="str">
        <f>IFERROR("("&amp;TEXT(L51/H53,"#,##0円")&amp;"/月)","")</f>
        <v>(33,245円/月)</v>
      </c>
      <c r="M52" s="999"/>
      <c r="N52" s="999"/>
      <c r="O52" s="999"/>
      <c r="P52" s="999"/>
      <c r="Q52" s="999" t="str">
        <f>IFERROR("("&amp;TEXT(Q51/H53,"#,##0円")&amp;"/月)","")</f>
        <v>(36,569円/月)</v>
      </c>
      <c r="R52" s="999"/>
      <c r="S52" s="999"/>
      <c r="T52" s="999"/>
      <c r="U52" s="999"/>
      <c r="V52" s="999" t="str">
        <f>IFERROR("("&amp;TEXT(V51/H53,"#,##0円")&amp;"/月)","")</f>
        <v>(265,959円/月)</v>
      </c>
      <c r="W52" s="999"/>
      <c r="X52" s="999"/>
      <c r="Y52" s="999"/>
      <c r="Z52" s="999"/>
      <c r="AB52" s="148"/>
      <c r="AC52" s="1002" t="str">
        <f>IFERROR("("&amp;TEXT(AC51/AD53,"#,##0円")&amp;"/月)","")</f>
        <v>(299,205円/月)</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6" ht="16" customHeight="1">
      <c r="U57" s="983" t="s">
        <v>2203</v>
      </c>
      <c r="V57" s="983"/>
      <c r="W57" s="983"/>
      <c r="X57" s="983"/>
      <c r="Y57" s="983"/>
      <c r="Z57" s="243">
        <f>IF(AND(B9&lt;&gt;"処遇加算なし",F15=4),IF(V21="✓",1,IF(V22="✓",2,"")),"")</f>
        <v>1</v>
      </c>
      <c r="AA57" s="236"/>
      <c r="AB57" s="240"/>
      <c r="AC57" s="983" t="s">
        <v>2203</v>
      </c>
      <c r="AD57" s="983"/>
      <c r="AE57" s="983"/>
      <c r="AF57" s="983"/>
      <c r="AG57" s="983"/>
      <c r="AH57" s="167">
        <v>0</v>
      </c>
      <c r="AI57" s="240"/>
      <c r="AJ57" s="240"/>
      <c r="AK57" s="983" t="s">
        <v>2203</v>
      </c>
      <c r="AL57" s="983"/>
      <c r="AM57" s="983"/>
      <c r="AN57" s="983"/>
      <c r="AO57" s="983"/>
      <c r="AP57" s="167">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6" customHeight="1">
      <c r="U58" s="992" t="s">
        <v>2204</v>
      </c>
      <c r="V58" s="992"/>
      <c r="W58" s="992"/>
      <c r="X58" s="992"/>
      <c r="Y58" s="992"/>
      <c r="Z58" s="243">
        <f>IF(AND(B9&lt;&gt;"処遇加算なし",F15=4),IF(V24="✓",1,IF(V25="✓",2,IF(V26="✓",3,""))),"")</f>
        <v>1</v>
      </c>
      <c r="AA58" s="236"/>
      <c r="AB58" s="240"/>
      <c r="AC58" s="992" t="s">
        <v>2204</v>
      </c>
      <c r="AD58" s="992"/>
      <c r="AE58" s="992"/>
      <c r="AF58" s="992"/>
      <c r="AG58" s="992"/>
      <c r="AH58" s="167">
        <v>1</v>
      </c>
      <c r="AI58" s="240"/>
      <c r="AJ58" s="240"/>
      <c r="AK58" s="992" t="s">
        <v>2204</v>
      </c>
      <c r="AL58" s="992"/>
      <c r="AM58" s="992"/>
      <c r="AN58" s="992"/>
      <c r="AO58" s="992"/>
      <c r="AP58" s="167">
        <v>1</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6" customHeight="1">
      <c r="U59" s="992" t="s">
        <v>2205</v>
      </c>
      <c r="V59" s="992"/>
      <c r="W59" s="992"/>
      <c r="X59" s="992"/>
      <c r="Y59" s="992"/>
      <c r="Z59" s="243">
        <f>IF(AND(B9&lt;&gt;"処遇加算なし",F15=4),IF(V28="✓",1,IF(V29="✓",2,IF(V30="✓",3,""))),"")</f>
        <v>1</v>
      </c>
      <c r="AA59" s="236"/>
      <c r="AB59" s="240"/>
      <c r="AC59" s="992" t="s">
        <v>2205</v>
      </c>
      <c r="AD59" s="992"/>
      <c r="AE59" s="992"/>
      <c r="AF59" s="992"/>
      <c r="AG59" s="992"/>
      <c r="AH59" s="167">
        <v>1</v>
      </c>
      <c r="AI59" s="240"/>
      <c r="AJ59" s="240"/>
      <c r="AK59" s="992" t="s">
        <v>2205</v>
      </c>
      <c r="AL59" s="992"/>
      <c r="AM59" s="992"/>
      <c r="AN59" s="992"/>
      <c r="AO59" s="992"/>
      <c r="AP59" s="167">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6" customHeight="1">
      <c r="U60" s="992" t="s">
        <v>2206</v>
      </c>
      <c r="V60" s="992"/>
      <c r="W60" s="992"/>
      <c r="X60" s="992"/>
      <c r="Y60" s="992"/>
      <c r="Z60" s="243">
        <f>IF(AND(B9&lt;&gt;"処遇加算なし",F15=4),IF(V32="✓",1,IF(V33="✓",2,"")),"")</f>
        <v>2</v>
      </c>
      <c r="AA60" s="236"/>
      <c r="AB60" s="240"/>
      <c r="AC60" s="992" t="s">
        <v>2206</v>
      </c>
      <c r="AD60" s="992"/>
      <c r="AE60" s="992"/>
      <c r="AF60" s="992"/>
      <c r="AG60" s="992"/>
      <c r="AH60" s="167">
        <v>2</v>
      </c>
      <c r="AI60" s="240"/>
      <c r="AJ60" s="240"/>
      <c r="AK60" s="992" t="s">
        <v>2206</v>
      </c>
      <c r="AL60" s="992"/>
      <c r="AM60" s="992"/>
      <c r="AN60" s="992"/>
      <c r="AO60" s="992"/>
      <c r="AP60" s="167">
        <v>2</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6" customHeight="1">
      <c r="U61" s="992" t="s">
        <v>2207</v>
      </c>
      <c r="V61" s="992"/>
      <c r="W61" s="992"/>
      <c r="X61" s="992"/>
      <c r="Y61" s="992"/>
      <c r="Z61" s="243">
        <f>IF(AND(B9&lt;&gt;"処遇加算なし",F15=4),IF(V36="✓",1,IF(V37="✓",2,"")),"")</f>
        <v>2</v>
      </c>
      <c r="AA61" s="236"/>
      <c r="AB61" s="240"/>
      <c r="AC61" s="992" t="s">
        <v>2207</v>
      </c>
      <c r="AD61" s="992"/>
      <c r="AE61" s="992"/>
      <c r="AF61" s="992"/>
      <c r="AG61" s="992"/>
      <c r="AH61" s="167">
        <v>1</v>
      </c>
      <c r="AI61" s="240"/>
      <c r="AJ61" s="240"/>
      <c r="AK61" s="992" t="s">
        <v>2207</v>
      </c>
      <c r="AL61" s="992"/>
      <c r="AM61" s="992"/>
      <c r="AN61" s="992"/>
      <c r="AO61" s="992"/>
      <c r="AP61" s="167">
        <v>1</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6" customHeight="1">
      <c r="U62" s="992" t="s">
        <v>2208</v>
      </c>
      <c r="V62" s="992"/>
      <c r="W62" s="992"/>
      <c r="X62" s="992"/>
      <c r="Y62" s="992"/>
      <c r="Z62" s="243">
        <f>IF(AND(B9&lt;&gt;"処遇加算なし",F15=4),IF(V40="✓",1,IF(V41="✓",2,"")),"")</f>
        <v>2</v>
      </c>
      <c r="AA62" s="236"/>
      <c r="AB62" s="240"/>
      <c r="AC62" s="992" t="s">
        <v>2208</v>
      </c>
      <c r="AD62" s="992"/>
      <c r="AE62" s="992"/>
      <c r="AF62" s="992"/>
      <c r="AG62" s="992"/>
      <c r="AH62" s="167">
        <v>2</v>
      </c>
      <c r="AI62" s="240"/>
      <c r="AJ62" s="240"/>
      <c r="AK62" s="992" t="s">
        <v>2208</v>
      </c>
      <c r="AL62" s="992"/>
      <c r="AM62" s="992"/>
      <c r="AN62" s="992"/>
      <c r="AO62" s="992"/>
      <c r="AP62" s="167">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6" customHeight="1">
      <c r="U63" s="983" t="s">
        <v>2209</v>
      </c>
      <c r="V63" s="983"/>
      <c r="W63" s="983"/>
      <c r="X63" s="983"/>
      <c r="Y63" s="983"/>
      <c r="Z63" s="243">
        <f>IF(AND(B9&lt;&gt;"処遇加算なし",F15=4),IF(V44="✓",1,IF(V45="✓",2,"")),"")</f>
        <v>2</v>
      </c>
      <c r="AA63" s="236"/>
      <c r="AB63" s="240"/>
      <c r="AC63" s="983" t="s">
        <v>2209</v>
      </c>
      <c r="AD63" s="983"/>
      <c r="AE63" s="983"/>
      <c r="AF63" s="983"/>
      <c r="AG63" s="983"/>
      <c r="AH63" s="167">
        <v>1</v>
      </c>
      <c r="AI63" s="240"/>
      <c r="AJ63" s="240"/>
      <c r="AK63" s="983" t="s">
        <v>2209</v>
      </c>
      <c r="AL63" s="983"/>
      <c r="AM63" s="983"/>
      <c r="AN63" s="983"/>
      <c r="AO63" s="983"/>
      <c r="AP63" s="167">
        <v>1</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6" customHeight="1">
      <c r="BP64" s="193"/>
      <c r="BQ64" s="193"/>
      <c r="BR64" s="193"/>
      <c r="BS64" s="193"/>
      <c r="BT64" s="193"/>
      <c r="BU64" s="193"/>
      <c r="BV64" s="193"/>
      <c r="BW64" s="193"/>
      <c r="BX64" s="193"/>
      <c r="BY64" s="193"/>
      <c r="BZ64" s="193"/>
      <c r="CA64" s="193"/>
      <c r="CB64" s="193"/>
      <c r="CC64" s="193"/>
      <c r="CD64" s="193"/>
      <c r="CE64" s="193"/>
      <c r="CF64" s="193"/>
    </row>
    <row r="65" spans="20:71" ht="16" customHeight="1">
      <c r="BS65" s="193"/>
    </row>
    <row r="66" spans="20:71" ht="16" customHeight="1"/>
    <row r="67" spans="20:71" ht="16" customHeight="1">
      <c r="T67" s="168">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12700</xdr:colOff>
                    <xdr:row>30</xdr:row>
                    <xdr:rowOff>76200</xdr:rowOff>
                  </from>
                  <to>
                    <xdr:col>39</xdr:col>
                    <xdr:colOff>31750</xdr:colOff>
                    <xdr:row>34</xdr:row>
                    <xdr:rowOff>38100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2432</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千代田区・中央区・港区</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地域密着型通所介護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61">
        <v>1334567892</v>
      </c>
      <c r="C5" s="1061"/>
      <c r="D5" s="1061"/>
      <c r="E5" s="1061"/>
      <c r="F5" s="1061"/>
      <c r="G5" s="1062" t="s">
        <v>2436</v>
      </c>
      <c r="H5" s="1062"/>
      <c r="I5" s="1062"/>
      <c r="J5" s="1063" t="s">
        <v>5</v>
      </c>
      <c r="K5" s="1063"/>
      <c r="L5" s="1063"/>
      <c r="M5" s="1064" t="s">
        <v>6</v>
      </c>
      <c r="N5" s="1064"/>
      <c r="O5" s="1064"/>
      <c r="P5" s="1065">
        <f>IF(Y5="","",IFERROR(INDEX(【参考】数式用3!$G$3:$I$451,MATCH(M5,【参考】数式用3!$F$3:$F$451,0),MATCH(VLOOKUP(Y5,【参考】数式用3!$J$2:$K$26,2,FALSE),【参考】数式用3!$G$2:$I$2,0)),10))</f>
        <v>10.9</v>
      </c>
      <c r="Q5" s="1066"/>
      <c r="R5" s="1066"/>
      <c r="S5" s="1067" t="s">
        <v>2435</v>
      </c>
      <c r="T5" s="1068"/>
      <c r="U5" s="1068"/>
      <c r="V5" s="1068"/>
      <c r="W5" s="1068"/>
      <c r="X5" s="1069"/>
      <c r="Y5" s="1048" t="s">
        <v>284</v>
      </c>
      <c r="Z5" s="1048"/>
      <c r="AA5" s="1048"/>
      <c r="AB5" s="1048"/>
      <c r="AC5" s="1048"/>
      <c r="AD5" s="1048"/>
      <c r="AE5" s="1015">
        <v>325000</v>
      </c>
      <c r="AF5" s="1016"/>
      <c r="AG5" s="1016"/>
      <c r="AH5" s="1017"/>
      <c r="AI5" s="1015">
        <v>0</v>
      </c>
      <c r="AJ5" s="1016"/>
      <c r="AK5" s="1016"/>
      <c r="AL5" s="1017"/>
      <c r="AM5" s="1018">
        <f>AE5-AI5</f>
        <v>325000</v>
      </c>
      <c r="AN5" s="1019"/>
      <c r="AO5" s="1019"/>
      <c r="AP5" s="1020"/>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10</v>
      </c>
      <c r="G15" s="197" t="s">
        <v>2284</v>
      </c>
      <c r="H15" s="1094" t="s">
        <v>2285</v>
      </c>
      <c r="I15" s="1094"/>
      <c r="J15" s="1107"/>
      <c r="K15" s="144">
        <v>7</v>
      </c>
      <c r="L15" s="197" t="s">
        <v>2283</v>
      </c>
      <c r="M15" s="144">
        <v>3</v>
      </c>
      <c r="N15" s="197" t="s">
        <v>2284</v>
      </c>
      <c r="O15" s="197" t="s">
        <v>2286</v>
      </c>
      <c r="P15" s="198">
        <f>(K15*12+M15)-(D15*12+F15)+1</f>
        <v>6</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
      </c>
      <c r="AD20" s="1029"/>
      <c r="AE20" s="1029"/>
      <c r="AF20" s="1029"/>
      <c r="AG20" s="1029"/>
      <c r="AH20" s="1029"/>
      <c r="AI20" s="188"/>
      <c r="AJ20" s="188"/>
      <c r="AK20" s="1029" t="str">
        <f>IF(OR(F15=4,F15=5),"R6.6","R"&amp;D15&amp;"."&amp;F15)&amp;"～R"&amp;K15&amp;"."&amp;M15</f>
        <v>R6.10～R7.3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v>1</v>
      </c>
      <c r="AH37" s="962"/>
      <c r="AI37" s="976"/>
      <c r="AJ37" s="977"/>
      <c r="AK37" s="959" t="s">
        <v>2369</v>
      </c>
      <c r="AL37" s="960"/>
      <c r="AM37" s="960"/>
      <c r="AN37" s="960"/>
      <c r="AO37" s="961">
        <v>1</v>
      </c>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サービス提供体制強化加算Ⅰ、Ⅱ、Ⅲイまたはロを算定する。</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t="s">
        <v>2271</v>
      </c>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R6.10～R7.3</v>
      </c>
      <c r="AD48" s="1137"/>
      <c r="AE48" s="1137"/>
      <c r="AF48" s="1137"/>
      <c r="AG48" s="1137"/>
      <c r="AH48" s="1137"/>
      <c r="AS48" s="985" t="str">
        <f>IFERROR(IF(AND(OR(AP58=1,AP58=2),OR(AP59=1,AP59=2),OR(AP60=1,AP60=2)),"処遇加算Ⅰ",IF(AND(OR(AP58=1,AP58=2),OR(AP59=1,AP59=2),OR(AP60=0,AP60=3)),"処遇加算Ⅱ",IF(OR(OR(AP58=1,AP58=2),OR(AP59=1,AP59=2)),"処遇加算Ⅲ",""))),"")</f>
        <v>処遇加算Ⅰ</v>
      </c>
      <c r="AT48" s="985"/>
      <c r="AU48" s="985"/>
      <c r="AV48" s="985"/>
      <c r="AW48" s="985" t="str">
        <f>IFERROR(IF(AND(AP61=1,AP62=1,AP63=1),"特定加算Ⅰ",IF(AND(AP61=1,AP62=2,AP63=1),"特定加算Ⅱ",IF(OR(AP61=2,AP62=2,AP63=2),"特定加算なし",""))),"")</f>
        <v>特定加算Ⅱ</v>
      </c>
      <c r="AX48" s="985"/>
      <c r="AY48" s="985"/>
      <c r="AZ48" s="985"/>
      <c r="BA48" s="985" t="str">
        <f>IFERROR(IF(OR(L9="ベア加算",AND(L9="ベア加算なし",AP57=1)),"ベア加算",IF(AP57=2,"ベア加算なし","")),"")</f>
        <v/>
      </c>
      <c r="BB48" s="985"/>
      <c r="BC48" s="985"/>
      <c r="BD48" s="985"/>
      <c r="BE48" s="986" t="str">
        <f>AS48&amp;AW48&amp;BA48</f>
        <v>処遇加算Ⅰ特定加算Ⅱ</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f>IFERROR(ROUNDDOWN(ROUNDDOWN(ROUND(AM5*(VLOOKUP(Y5,【参考】数式用!$A$5:$AB$27,14,FALSE)),0)*P5,0)*AD53*0.5,0),"")</f>
        <v>680160</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t="str">
        <f>IF(F15=4,2,IF(F15=5,1,""))</f>
        <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6</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
      </c>
      <c r="AD56" s="986"/>
      <c r="AE56" s="986"/>
      <c r="AF56" s="986"/>
      <c r="AG56" s="986"/>
      <c r="AH56" s="986"/>
      <c r="AI56" s="241"/>
      <c r="AJ56" s="240"/>
      <c r="AK56" s="986" t="str">
        <f>IF(OR(F15=4,F15=5),"R6.6","R"&amp;D15&amp;"."&amp;F15)&amp;"～R"&amp;K15&amp;"."&amp;M15</f>
        <v>R6.10～R7.3</v>
      </c>
      <c r="AL56" s="986"/>
      <c r="AM56" s="986"/>
      <c r="AN56" s="986"/>
      <c r="AO56" s="986"/>
      <c r="AP56" s="986"/>
      <c r="AQ56" s="236"/>
      <c r="AR56" s="236"/>
      <c r="AS56" s="989" t="s">
        <v>2420</v>
      </c>
      <c r="AT56" s="989"/>
      <c r="AU56" s="989"/>
      <c r="AV56" s="989"/>
      <c r="AW56" s="989" t="s">
        <v>2419</v>
      </c>
      <c r="AX56" s="989"/>
      <c r="AY56" s="989"/>
      <c r="AZ56" s="989"/>
    </row>
    <row r="57" spans="2:86"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v>1</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0</v>
      </c>
      <c r="AI58" s="240"/>
      <c r="AJ58" s="240"/>
      <c r="AK58" s="992" t="s">
        <v>2204</v>
      </c>
      <c r="AL58" s="992"/>
      <c r="AM58" s="992"/>
      <c r="AN58" s="992"/>
      <c r="AO58" s="992"/>
      <c r="AP58" s="167">
        <v>2</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0</v>
      </c>
      <c r="AI59" s="240"/>
      <c r="AJ59" s="240"/>
      <c r="AK59" s="992" t="s">
        <v>2205</v>
      </c>
      <c r="AL59" s="992"/>
      <c r="AM59" s="992"/>
      <c r="AN59" s="992"/>
      <c r="AO59" s="992"/>
      <c r="AP59" s="167">
        <v>2</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0</v>
      </c>
      <c r="AI60" s="240"/>
      <c r="AJ60" s="240"/>
      <c r="AK60" s="992" t="s">
        <v>2206</v>
      </c>
      <c r="AL60" s="992"/>
      <c r="AM60" s="992"/>
      <c r="AN60" s="992"/>
      <c r="AO60" s="992"/>
      <c r="AP60" s="167">
        <v>2</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0</v>
      </c>
      <c r="AI61" s="240"/>
      <c r="AJ61" s="240"/>
      <c r="AK61" s="992" t="s">
        <v>2207</v>
      </c>
      <c r="AL61" s="992"/>
      <c r="AM61" s="992"/>
      <c r="AN61" s="992"/>
      <c r="AO61" s="992"/>
      <c r="AP61" s="167">
        <v>1</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0</v>
      </c>
      <c r="AI62" s="240"/>
      <c r="AJ62" s="240"/>
      <c r="AK62" s="992" t="s">
        <v>2208</v>
      </c>
      <c r="AL62" s="992"/>
      <c r="AM62" s="992"/>
      <c r="AN62" s="992"/>
      <c r="AO62" s="992"/>
      <c r="AP62" s="167">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0</v>
      </c>
      <c r="AI63" s="240"/>
      <c r="AJ63" s="240"/>
      <c r="AK63" s="983" t="s">
        <v>2209</v>
      </c>
      <c r="AL63" s="983"/>
      <c r="AM63" s="983"/>
      <c r="AN63" s="983"/>
      <c r="AO63" s="983"/>
      <c r="AP63" s="167">
        <v>1</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6" customHeight="1">
      <c r="BP64" s="193"/>
      <c r="BQ64" s="193"/>
      <c r="BR64" s="193"/>
      <c r="BS64" s="193"/>
      <c r="BT64" s="193"/>
      <c r="BU64" s="193"/>
      <c r="BV64" s="193"/>
      <c r="BW64" s="193"/>
      <c r="BX64" s="193"/>
      <c r="BY64" s="193"/>
      <c r="BZ64" s="193"/>
      <c r="CA64" s="193"/>
      <c r="CB64" s="193"/>
      <c r="CC64" s="193"/>
      <c r="CD64" s="193"/>
      <c r="CE64" s="193"/>
      <c r="CF64" s="193"/>
    </row>
    <row r="65" spans="20:71" ht="16" customHeight="1">
      <c r="BS65" s="193"/>
    </row>
    <row r="66" spans="20:71" ht="16" customHeight="1"/>
    <row r="67" spans="20:71" ht="16" customHeight="1">
      <c r="T67" s="168">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2424</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中央区</v>
      </c>
      <c r="AJ1" s="1155"/>
      <c r="AK1" s="1155"/>
      <c r="AL1" s="1155"/>
      <c r="AM1" s="1155"/>
      <c r="AN1" s="1155"/>
      <c r="AO1" s="1155"/>
      <c r="AP1" s="1155"/>
      <c r="AS1" s="979" t="str">
        <f>B9&amp;G9&amp;L9</f>
        <v>処遇加算Ⅲ特定加算なしベア加算なし</v>
      </c>
      <c r="AT1" s="980"/>
      <c r="AU1" s="980"/>
      <c r="AV1" s="980"/>
      <c r="AW1" s="980"/>
      <c r="AX1" s="980"/>
      <c r="AY1" s="980"/>
      <c r="AZ1" s="980"/>
      <c r="BA1" s="980"/>
      <c r="BB1" s="980"/>
      <c r="BC1" s="980"/>
      <c r="BD1" s="980"/>
      <c r="BE1" s="981"/>
      <c r="BF1" s="978" t="str">
        <f>IFERROR(VLOOKUP(Y5,【参考】数式用!$AJ$2:$AK$24,2,FALSE),"")</f>
        <v>介護予防_小規模多機能型居宅介護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61">
        <v>1334567893</v>
      </c>
      <c r="C5" s="1061"/>
      <c r="D5" s="1061"/>
      <c r="E5" s="1061"/>
      <c r="F5" s="1061"/>
      <c r="G5" s="1062" t="s">
        <v>2433</v>
      </c>
      <c r="H5" s="1062"/>
      <c r="I5" s="1062"/>
      <c r="J5" s="1063" t="s">
        <v>5</v>
      </c>
      <c r="K5" s="1063"/>
      <c r="L5" s="1063"/>
      <c r="M5" s="1064" t="s">
        <v>1320</v>
      </c>
      <c r="N5" s="1064"/>
      <c r="O5" s="1064"/>
      <c r="P5" s="1065">
        <f>IF(Y5="","",IFERROR(INDEX(【参考】数式用3!$G$3:$I$451,MATCH(M5,【参考】数式用3!$F$3:$F$451,0),MATCH(VLOOKUP(Y5,【参考】数式用3!$J$2:$K$26,2,FALSE),【参考】数式用3!$G$2:$I$2,0)),10))</f>
        <v>11.1</v>
      </c>
      <c r="Q5" s="1066"/>
      <c r="R5" s="1066"/>
      <c r="S5" s="1067" t="s">
        <v>2434</v>
      </c>
      <c r="T5" s="1068"/>
      <c r="U5" s="1068"/>
      <c r="V5" s="1068"/>
      <c r="W5" s="1068"/>
      <c r="X5" s="1069"/>
      <c r="Y5" s="1048" t="s">
        <v>292</v>
      </c>
      <c r="Z5" s="1048"/>
      <c r="AA5" s="1048"/>
      <c r="AB5" s="1048"/>
      <c r="AC5" s="1048"/>
      <c r="AD5" s="1048"/>
      <c r="AE5" s="1015">
        <v>425000</v>
      </c>
      <c r="AF5" s="1016"/>
      <c r="AG5" s="1016"/>
      <c r="AH5" s="1017"/>
      <c r="AI5" s="1015">
        <v>80000</v>
      </c>
      <c r="AJ5" s="1016"/>
      <c r="AK5" s="1016"/>
      <c r="AL5" s="1017"/>
      <c r="AM5" s="1018">
        <f>AE5-AI5</f>
        <v>345000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新加算Ⅳ</v>
      </c>
      <c r="W8" s="1031"/>
      <c r="X8" s="1031"/>
      <c r="Y8" s="1031"/>
      <c r="Z8" s="1032"/>
      <c r="AA8" s="101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t="s">
        <v>268</v>
      </c>
      <c r="C9" s="1076"/>
      <c r="D9" s="1076"/>
      <c r="E9" s="1076"/>
      <c r="F9" s="1077"/>
      <c r="G9" s="1078" t="s">
        <v>13</v>
      </c>
      <c r="H9" s="1079"/>
      <c r="I9" s="1079"/>
      <c r="J9" s="1079"/>
      <c r="K9" s="1080"/>
      <c r="L9" s="1081" t="s">
        <v>11</v>
      </c>
      <c r="M9" s="1082"/>
      <c r="N9" s="1082"/>
      <c r="O9" s="1082"/>
      <c r="P9" s="1083"/>
      <c r="Q9" s="1070" t="s">
        <v>2200</v>
      </c>
      <c r="R9" s="1071"/>
      <c r="S9" s="1071"/>
      <c r="T9" s="976"/>
      <c r="U9" s="977"/>
      <c r="V9" s="1033">
        <f>IFERROR(VLOOKUP(Y5,【参考】数式用!$A$5:$AB$27,MATCH(V8,【参考】数式用!$B$4:$AB$4,0)+1,FALSE),"")</f>
        <v>0.106</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f>IFERROR(VLOOKUP(Y5,【参考】数式用!$A$5:$J$27,MATCH(B9,【参考】数式用!$B$4:$J$4,0)+1,0),"")</f>
        <v>4.1000000000000002E-2</v>
      </c>
      <c r="C10" s="1085"/>
      <c r="D10" s="1085"/>
      <c r="E10" s="1085"/>
      <c r="F10" s="1086"/>
      <c r="G10" s="1084">
        <f>IFERROR(VLOOKUP(Y5,【参考】数式用!$A$5:$J$27,MATCH(G9,【参考】数式用!$B$4:$J$4,0)+1,0),"")</f>
        <v>0</v>
      </c>
      <c r="H10" s="1085"/>
      <c r="I10" s="1085"/>
      <c r="J10" s="1085"/>
      <c r="K10" s="1086"/>
      <c r="L10" s="1084">
        <f>IFERROR(VLOOKUP(Y5,【参考】数式用!$A$5:$J$27,MATCH(L9,【参考】数式用!$B$4:$J$4,0)+1,0),"")</f>
        <v>0</v>
      </c>
      <c r="M10" s="1085"/>
      <c r="N10" s="1085"/>
      <c r="O10" s="1085"/>
      <c r="P10" s="1086"/>
      <c r="Q10" s="1090">
        <f>SUM(B10,G10,L10)</f>
        <v>4.1000000000000002E-2</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新加算Ⅴ(11)</v>
      </c>
      <c r="W11" s="1039"/>
      <c r="X11" s="1039"/>
      <c r="Y11" s="1039"/>
      <c r="Z11" s="1039"/>
      <c r="AA11" s="101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60"/>
      <c r="D12" s="1060"/>
      <c r="E12" s="1060"/>
      <c r="F12" s="1060"/>
      <c r="G12" s="1060"/>
      <c r="H12" s="1060"/>
      <c r="I12" s="1060"/>
      <c r="J12" s="1060"/>
      <c r="K12" s="1060"/>
      <c r="L12" s="1060"/>
      <c r="M12" s="1060"/>
      <c r="N12" s="1060"/>
      <c r="O12" s="1060"/>
      <c r="P12" s="1060"/>
      <c r="Q12" s="1060"/>
      <c r="R12" s="1060"/>
      <c r="S12" s="1060"/>
      <c r="T12" s="1028"/>
      <c r="U12" s="977"/>
      <c r="V12" s="1038">
        <f>IFERROR(VLOOKUP(Y5,【参考】数式用!$A$5:$AB$27,MATCH(V11,【参考】数式用!$B$4:$AB$4,0)+1,FALSE),"")</f>
        <v>8.8999999999999996E-2</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新加算Ⅴ(14)</v>
      </c>
      <c r="W14" s="1039"/>
      <c r="X14" s="1039"/>
      <c r="Y14" s="1039"/>
      <c r="Z14" s="1039"/>
      <c r="AA14" s="102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f>IFERROR(VLOOKUP(Y5,【参考】数式用!$A$5:$AB$27,MATCH(V14,【参考】数式用!$B$4:$AB$4,0)+1,FALSE),"")</f>
        <v>5.6000000000000001E-2</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！R7年度以降、いずれの区分でも必要になる上、R6.4時点でのベア加算の算定がR6.2-5の補助金の要件となるため、早期の対応を推奨。</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サービス提供体制強化加算ⅠまたはⅡを算定する。</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処遇加算Ⅱ</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ベア加算</v>
      </c>
      <c r="BB48" s="985"/>
      <c r="BC48" s="985"/>
      <c r="BD48" s="985"/>
      <c r="BE48" s="986" t="str">
        <f>AS48&amp;AW48&amp;BA48</f>
        <v>処遇加算Ⅱ特定加算なしベア加算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処遇加算Ⅱ</v>
      </c>
      <c r="H49" s="1111"/>
      <c r="I49" s="1111"/>
      <c r="J49" s="1111"/>
      <c r="K49" s="1136"/>
      <c r="L49" s="1110" t="str">
        <f>IFERROR(IF(G9="","",IF(AND(AH61=1,AH62=1,AH63=1),"特定加算Ⅰ",IF(AND(AH61=1,AH62=2,AH63=1),"特定加算Ⅱ",IF(OR(AH61=2,AH62=2,AH63=2),"特定加算なし","")))),"")</f>
        <v>特定加算なし</v>
      </c>
      <c r="M49" s="1111"/>
      <c r="N49" s="1111"/>
      <c r="O49" s="1111"/>
      <c r="P49" s="1112"/>
      <c r="Q49" s="1113" t="str">
        <f>IFERROR(IF(OR(L9="ベア加算",AND(L9="ベア加算なし",AH57=1)),"ベア加算",IF(AH57=2,"ベア加算なし","")),"")</f>
        <v>ベア加算</v>
      </c>
      <c r="R49" s="1111"/>
      <c r="S49" s="1111"/>
      <c r="T49" s="1111"/>
      <c r="U49" s="1112"/>
      <c r="V49" s="1114" t="s">
        <v>12</v>
      </c>
      <c r="W49" s="1115"/>
      <c r="X49" s="1115"/>
      <c r="Y49" s="1115"/>
      <c r="Z49" s="1115"/>
      <c r="AA49" s="1028"/>
      <c r="AB49" s="1028"/>
      <c r="AC49" s="1008" t="str">
        <f>IFERROR(VLOOKUP(BE48,【参考】数式用2!E6:F23,2,FALSE),"")</f>
        <v>新加算Ⅳ</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1">
        <f>IFERROR(VLOOKUP(Y5,【参考】数式用!$A$5:$J$27,MATCH(G49,【参考】数式用!$B$4:$J$4,0)+1,0),"")</f>
        <v>7.3999999999999996E-2</v>
      </c>
      <c r="H50" s="1132"/>
      <c r="I50" s="1132"/>
      <c r="J50" s="1132"/>
      <c r="K50" s="1133"/>
      <c r="L50" s="1131">
        <f>IFERROR(VLOOKUP(Y5,【参考】数式用!$A$5:$J$27,MATCH(L49,【参考】数式用!$B$4:$J$4,0)+1,0),"")</f>
        <v>0</v>
      </c>
      <c r="M50" s="1132"/>
      <c r="N50" s="1132"/>
      <c r="O50" s="1132"/>
      <c r="P50" s="1134"/>
      <c r="Q50" s="1135">
        <f>IFERROR(VLOOKUP(Y5,【参考】数式用!$A$5:$J$27,MATCH(Q49,【参考】数式用!$B$4:$J$4,0)+1,0),"")</f>
        <v>1.7000000000000001E-2</v>
      </c>
      <c r="R50" s="1132"/>
      <c r="S50" s="1132"/>
      <c r="T50" s="1132"/>
      <c r="U50" s="1134"/>
      <c r="V50" s="1090">
        <f>SUM(G50,L50,Q50)</f>
        <v>9.0999999999999998E-2</v>
      </c>
      <c r="W50" s="1091"/>
      <c r="X50" s="1091"/>
      <c r="Y50" s="1091"/>
      <c r="Z50" s="1091"/>
      <c r="AA50" s="1028"/>
      <c r="AB50" s="1028"/>
      <c r="AC50" s="1144">
        <f>IFERROR(VLOOKUP(Y5,【参考】数式用!$A$5:$AB$27,MATCH(AC49,【参考】数式用!$B$4:$AB$4,0)+1,FALSE),"")</f>
        <v>0.106</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001">
        <f>IFERROR(ROUNDDOWN(ROUND(AM5*G50,0)*P5,0)*H53,"")</f>
        <v>566766</v>
      </c>
      <c r="H51" s="1001"/>
      <c r="I51" s="1001"/>
      <c r="J51" s="1001"/>
      <c r="K51" s="145" t="s">
        <v>2289</v>
      </c>
      <c r="L51" s="1000">
        <f>IFERROR(ROUNDDOWN(ROUND(AM5*L50,0)*P5,0)*H53,"")</f>
        <v>0</v>
      </c>
      <c r="M51" s="1001"/>
      <c r="N51" s="1001"/>
      <c r="O51" s="1001"/>
      <c r="P51" s="145" t="s">
        <v>2289</v>
      </c>
      <c r="Q51" s="1000">
        <f>IFERROR(ROUNDDOWN(ROUND(AM5*Q50,0)*P5,0)*H53,"")</f>
        <v>130202</v>
      </c>
      <c r="R51" s="1001"/>
      <c r="S51" s="1001"/>
      <c r="T51" s="1001"/>
      <c r="U51" s="146" t="s">
        <v>2289</v>
      </c>
      <c r="V51" s="1108">
        <f>IFERROR(SUM(G51,L51,Q51),"")</f>
        <v>696968</v>
      </c>
      <c r="W51" s="1109"/>
      <c r="X51" s="1109"/>
      <c r="Y51" s="1109"/>
      <c r="Z51" s="147" t="s">
        <v>2289</v>
      </c>
      <c r="AB51" s="148"/>
      <c r="AC51" s="1000">
        <f>IFERROR(ROUNDDOWN(ROUND(AM5*AC50,0)*P5,0)*AD53,"")</f>
        <v>4059270</v>
      </c>
      <c r="AD51" s="1001"/>
      <c r="AE51" s="1001"/>
      <c r="AF51" s="1001"/>
      <c r="AG51" s="1001"/>
      <c r="AH51" s="146" t="s">
        <v>2289</v>
      </c>
      <c r="AS51" s="988">
        <f>IFERROR(ROUNDDOWN(ROUND(AM5*(G50-B10),0)*P5,0)*H53,"")</f>
        <v>252746</v>
      </c>
      <c r="AT51" s="988"/>
      <c r="AU51" s="988"/>
      <c r="AV51" s="988"/>
      <c r="AW51" s="988">
        <f>IFERROR(ROUNDDOWN(ROUND(AM5*(L50-G10),0)*P5,0)*H53,"")</f>
        <v>0</v>
      </c>
      <c r="AX51" s="988"/>
      <c r="AY51" s="988"/>
      <c r="AZ51" s="988"/>
      <c r="BA51" s="988">
        <f>IFERROR(ROUNDDOWN(ROUND(AM5*(Q50-L10),0)*P5,0)*H53,"")</f>
        <v>130202</v>
      </c>
      <c r="BB51" s="988"/>
      <c r="BC51" s="988"/>
      <c r="BD51" s="988"/>
      <c r="BE51" s="988">
        <f>IFERROR(ROUNDDOWN(ROUND(AM5*(AC50-Q10),0)*P5,0)*AD53,"")</f>
        <v>2489170</v>
      </c>
      <c r="BF51" s="988"/>
      <c r="BG51" s="988"/>
      <c r="BH51" s="988"/>
      <c r="BI51" s="988">
        <f>SUM(AS51:BH51)</f>
        <v>2872118</v>
      </c>
      <c r="BJ51" s="988"/>
      <c r="BK51" s="988"/>
      <c r="BL51" s="988"/>
      <c r="BM51" s="232"/>
      <c r="BN51" s="988">
        <f>IFERROR(ROUNDDOWN(ROUNDDOWN(ROUND(AM5*(VLOOKUP(Y5,【参考】数式用!$A$5:$AB$27,14,FALSE)),0)*P5,0)*AD53*0.5,0),"")</f>
        <v>2029635</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(283,383円/月)</v>
      </c>
      <c r="H52" s="999"/>
      <c r="I52" s="999"/>
      <c r="J52" s="999"/>
      <c r="K52" s="999"/>
      <c r="L52" s="999" t="str">
        <f>IFERROR("("&amp;TEXT(L51/H53,"#,##0円")&amp;"/月)","")</f>
        <v>(0円/月)</v>
      </c>
      <c r="M52" s="999"/>
      <c r="N52" s="999"/>
      <c r="O52" s="999"/>
      <c r="P52" s="999"/>
      <c r="Q52" s="999" t="str">
        <f>IFERROR("("&amp;TEXT(Q51/H53,"#,##0円")&amp;"/月)","")</f>
        <v>(65,101円/月)</v>
      </c>
      <c r="R52" s="999"/>
      <c r="S52" s="999"/>
      <c r="T52" s="999"/>
      <c r="U52" s="999"/>
      <c r="V52" s="999" t="str">
        <f>IFERROR("("&amp;TEXT(V51/H53,"#,##0円")&amp;"/月)","")</f>
        <v>(348,484円/月)</v>
      </c>
      <c r="W52" s="999"/>
      <c r="X52" s="999"/>
      <c r="Y52" s="999"/>
      <c r="Z52" s="999"/>
      <c r="AB52" s="148"/>
      <c r="AC52" s="1002" t="str">
        <f>IFERROR("("&amp;TEXT(AC51/AD53,"#,##0円")&amp;"/月)","")</f>
        <v>(405,927円/月)</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4" ht="16" customHeight="1">
      <c r="U57" s="983" t="s">
        <v>2203</v>
      </c>
      <c r="V57" s="983"/>
      <c r="W57" s="983"/>
      <c r="X57" s="983"/>
      <c r="Y57" s="983"/>
      <c r="Z57" s="243">
        <f>IF(AND(B9&lt;&gt;"処遇加算なし",F15=4),IF(V21="✓",1,IF(V22="✓",2,"")),"")</f>
        <v>2</v>
      </c>
      <c r="AA57" s="236"/>
      <c r="AB57" s="240"/>
      <c r="AC57" s="983" t="s">
        <v>2203</v>
      </c>
      <c r="AD57" s="983"/>
      <c r="AE57" s="983"/>
      <c r="AF57" s="983"/>
      <c r="AG57" s="983"/>
      <c r="AH57" s="167">
        <f>IF(AND(F15&lt;&gt;4,F15&lt;&gt;5),0,IF(AT8="○",1,0))</f>
        <v>1</v>
      </c>
      <c r="AI57" s="240"/>
      <c r="AJ57" s="240"/>
      <c r="AK57" s="983" t="s">
        <v>2203</v>
      </c>
      <c r="AL57" s="983"/>
      <c r="AM57" s="983"/>
      <c r="AN57" s="983"/>
      <c r="AO57" s="983"/>
      <c r="AP57" s="167">
        <f>IF(AT8="○",1,0)</f>
        <v>1</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6" customHeight="1">
      <c r="U58" s="992" t="s">
        <v>2204</v>
      </c>
      <c r="V58" s="992"/>
      <c r="W58" s="992"/>
      <c r="X58" s="992"/>
      <c r="Y58" s="992"/>
      <c r="Z58" s="243">
        <f>IF(AND(B9&lt;&gt;"処遇加算なし",F15=4),IF(V24="✓",1,IF(V25="✓",2,IF(V26="✓",3,""))),"")</f>
        <v>2</v>
      </c>
      <c r="AA58" s="236"/>
      <c r="AB58" s="240"/>
      <c r="AC58" s="992" t="s">
        <v>2204</v>
      </c>
      <c r="AD58" s="992"/>
      <c r="AE58" s="992"/>
      <c r="AF58" s="992"/>
      <c r="AG58" s="992"/>
      <c r="AH58" s="167">
        <v>2</v>
      </c>
      <c r="AI58" s="240"/>
      <c r="AJ58" s="240"/>
      <c r="AK58" s="992" t="s">
        <v>2204</v>
      </c>
      <c r="AL58" s="992"/>
      <c r="AM58" s="992"/>
      <c r="AN58" s="992"/>
      <c r="AO58" s="992"/>
      <c r="AP58" s="167">
        <v>2</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6" customHeight="1">
      <c r="U59" s="992" t="s">
        <v>2205</v>
      </c>
      <c r="V59" s="992"/>
      <c r="W59" s="992"/>
      <c r="X59" s="992"/>
      <c r="Y59" s="992"/>
      <c r="Z59" s="243">
        <f>IF(AND(B9&lt;&gt;"処遇加算なし",F15=4),IF(V28="✓",1,IF(V29="✓",2,IF(V30="✓",3,""))),"")</f>
        <v>2</v>
      </c>
      <c r="AA59" s="236"/>
      <c r="AB59" s="240"/>
      <c r="AC59" s="992" t="s">
        <v>2205</v>
      </c>
      <c r="AD59" s="992"/>
      <c r="AE59" s="992"/>
      <c r="AF59" s="992"/>
      <c r="AG59" s="992"/>
      <c r="AH59" s="167">
        <v>1</v>
      </c>
      <c r="AI59" s="240"/>
      <c r="AJ59" s="240"/>
      <c r="AK59" s="992" t="s">
        <v>2205</v>
      </c>
      <c r="AL59" s="992"/>
      <c r="AM59" s="992"/>
      <c r="AN59" s="992"/>
      <c r="AO59" s="992"/>
      <c r="AP59" s="167">
        <f>IF(AV8="○",1,3)</f>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6" customHeight="1">
      <c r="U60" s="992" t="s">
        <v>2206</v>
      </c>
      <c r="V60" s="992"/>
      <c r="W60" s="992"/>
      <c r="X60" s="992"/>
      <c r="Y60" s="992"/>
      <c r="Z60" s="243">
        <f>IF(AND(B9&lt;&gt;"処遇加算なし",F15=4),IF(V32="✓",1,IF(V33="✓",2,"")),"")</f>
        <v>2</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6" customHeight="1">
      <c r="U61" s="992" t="s">
        <v>2207</v>
      </c>
      <c r="V61" s="992"/>
      <c r="W61" s="992"/>
      <c r="X61" s="992"/>
      <c r="Y61" s="992"/>
      <c r="Z61" s="243">
        <f>IF(AND(B9&lt;&gt;"処遇加算なし",F15=4),IF(V36="✓",1,IF(V37="✓",2,"")),"")</f>
        <v>2</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6" customHeight="1">
      <c r="U62" s="992" t="s">
        <v>2208</v>
      </c>
      <c r="V62" s="992"/>
      <c r="W62" s="992"/>
      <c r="X62" s="992"/>
      <c r="Y62" s="992"/>
      <c r="Z62" s="243">
        <f>IF(AND(B9&lt;&gt;"処遇加算なし",F15=4),IF(V40="✓",1,IF(V41="✓",2,"")),"")</f>
        <v>2</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6" customHeight="1">
      <c r="U63" s="983" t="s">
        <v>2209</v>
      </c>
      <c r="V63" s="983"/>
      <c r="W63" s="983"/>
      <c r="X63" s="983"/>
      <c r="Y63" s="983"/>
      <c r="Z63" s="243">
        <f>IF(AND(B9&lt;&gt;"処遇加算なし",F15=4),IF(V44="✓",1,IF(V45="✓",2,"")),"")</f>
        <v>2</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6" customHeight="1">
      <c r="BP64" s="193"/>
      <c r="BQ64" s="193"/>
      <c r="BR64" s="193"/>
      <c r="BS64" s="193"/>
      <c r="BT64" s="193"/>
      <c r="BU64" s="193"/>
      <c r="BV64" s="193"/>
      <c r="BW64" s="193"/>
      <c r="BX64" s="193"/>
      <c r="BY64" s="193"/>
      <c r="BZ64" s="193"/>
      <c r="CA64" s="193"/>
      <c r="CB64" s="193"/>
      <c r="CC64" s="193"/>
      <c r="CD64" s="193"/>
      <c r="CE64" s="193"/>
      <c r="CF64" s="193"/>
    </row>
    <row r="65" spans="20:71" ht="16" customHeight="1">
      <c r="BS65" s="193"/>
    </row>
    <row r="66" spans="20:71" ht="16" customHeight="1"/>
    <row r="67" spans="20:71" ht="16" customHeight="1">
      <c r="T67" s="168">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2425</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4"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3</v>
      </c>
      <c r="AI58" s="240"/>
      <c r="AJ58" s="240"/>
      <c r="AK58" s="992" t="s">
        <v>2204</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3</v>
      </c>
      <c r="AI59" s="240"/>
      <c r="AJ59" s="240"/>
      <c r="AK59" s="992" t="s">
        <v>2205</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6" customHeight="1">
      <c r="BP64" s="193"/>
      <c r="BQ64" s="193"/>
      <c r="BR64" s="193"/>
      <c r="BS64" s="193"/>
      <c r="BT64" s="193"/>
      <c r="BU64" s="193"/>
      <c r="BV64" s="193"/>
      <c r="BW64" s="193"/>
      <c r="BX64" s="193"/>
      <c r="BY64" s="193"/>
      <c r="BZ64" s="193"/>
      <c r="CA64" s="193"/>
      <c r="CB64" s="193"/>
      <c r="CC64" s="193"/>
      <c r="CD64" s="193"/>
      <c r="CE64" s="193"/>
      <c r="CF64" s="193"/>
    </row>
    <row r="65" spans="20:71" ht="16" customHeight="1">
      <c r="BS65" s="193"/>
    </row>
    <row r="66" spans="20:71" ht="16" customHeight="1"/>
    <row r="67" spans="20:71" ht="16" customHeight="1">
      <c r="T67" s="168">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2426</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4"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3</v>
      </c>
      <c r="AI58" s="240"/>
      <c r="AJ58" s="240"/>
      <c r="AK58" s="992" t="s">
        <v>2204</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3</v>
      </c>
      <c r="AI59" s="240"/>
      <c r="AJ59" s="240"/>
      <c r="AK59" s="992" t="s">
        <v>2205</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6" customHeight="1">
      <c r="BP64" s="193"/>
      <c r="BQ64" s="193"/>
      <c r="BR64" s="193"/>
      <c r="BS64" s="193"/>
      <c r="BT64" s="193"/>
      <c r="BU64" s="193"/>
      <c r="BV64" s="193"/>
      <c r="BW64" s="193"/>
      <c r="BX64" s="193"/>
      <c r="BY64" s="193"/>
      <c r="BZ64" s="193"/>
      <c r="CA64" s="193"/>
      <c r="CB64" s="193"/>
      <c r="CC64" s="193"/>
      <c r="CD64" s="193"/>
      <c r="CE64" s="193"/>
      <c r="CF64" s="193"/>
    </row>
    <row r="65" spans="20:71" ht="16" customHeight="1">
      <c r="BS65" s="193"/>
    </row>
    <row r="66" spans="20:71" ht="16" customHeight="1"/>
    <row r="67" spans="20:71" ht="16" customHeight="1">
      <c r="T67" s="168">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33203125" style="168" customWidth="1"/>
    <col min="7" max="9" width="2.08203125" style="168" customWidth="1"/>
    <col min="10" max="10" width="1.83203125" style="168" customWidth="1"/>
    <col min="11" max="12" width="2.08203125" style="168" customWidth="1"/>
    <col min="13" max="13" width="2.33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2427</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2"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3</v>
      </c>
      <c r="AI58" s="240"/>
      <c r="AJ58" s="240"/>
      <c r="AK58" s="992" t="s">
        <v>2204</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3</v>
      </c>
      <c r="AI59" s="240"/>
      <c r="AJ59" s="240"/>
      <c r="AK59" s="992" t="s">
        <v>2205</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6" customHeight="1">
      <c r="BL64" s="193"/>
      <c r="BM64" s="193"/>
      <c r="BN64" s="193"/>
      <c r="BO64" s="193"/>
      <c r="BP64" s="193"/>
      <c r="BQ64" s="193"/>
      <c r="BR64" s="193"/>
      <c r="BS64" s="193"/>
      <c r="BT64" s="193"/>
      <c r="BU64" s="193"/>
      <c r="BV64" s="193"/>
      <c r="BW64" s="193"/>
      <c r="BX64" s="193"/>
      <c r="BY64" s="193"/>
      <c r="BZ64" s="193"/>
      <c r="CA64" s="193"/>
      <c r="CB64" s="193"/>
    </row>
    <row r="65" spans="20:71" ht="16" customHeight="1">
      <c r="BS65" s="193"/>
    </row>
    <row r="66" spans="20:71" ht="16" customHeight="1"/>
    <row r="67" spans="20:71" ht="16" customHeight="1">
      <c r="T67" s="168">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9174"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9175"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9176"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9177"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9178"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9179"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9180"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9181"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9182"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9183"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9184"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9185"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9186"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9187"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9188"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68" customWidth="1"/>
    <col min="2" max="5" width="2.25" style="168" customWidth="1"/>
    <col min="6" max="6" width="2.58203125" style="168" customWidth="1"/>
    <col min="7" max="9" width="2.08203125" style="168" customWidth="1"/>
    <col min="10" max="10" width="1.83203125" style="168" customWidth="1"/>
    <col min="11" max="12" width="2.08203125" style="168" customWidth="1"/>
    <col min="13" max="13" width="2.58203125" style="168" customWidth="1"/>
    <col min="14" max="15" width="2.08203125" style="168" customWidth="1"/>
    <col min="16" max="16" width="2.75" style="168" customWidth="1"/>
    <col min="17" max="19" width="2.08203125" style="168" customWidth="1"/>
    <col min="20" max="20" width="1.33203125" style="168" customWidth="1"/>
    <col min="21" max="30" width="2.08203125" style="168" customWidth="1"/>
    <col min="31" max="31" width="2.5" style="168" customWidth="1"/>
    <col min="32" max="32" width="2.75" style="168" customWidth="1"/>
    <col min="33" max="38" width="2.08203125" style="168" customWidth="1"/>
    <col min="39" max="39" width="2.75" style="168" customWidth="1"/>
    <col min="40" max="40" width="2.5" style="168" customWidth="1"/>
    <col min="41" max="42" width="2.08203125" style="168" customWidth="1"/>
    <col min="43" max="43" width="1.58203125" style="168" customWidth="1"/>
    <col min="44" max="44" width="2" style="168" customWidth="1"/>
    <col min="45" max="62" width="2.83203125" style="168" customWidth="1"/>
    <col min="63" max="72" width="2.25" style="168" customWidth="1"/>
    <col min="73" max="73" width="3.08203125" style="168" customWidth="1"/>
    <col min="74" max="75" width="2.25" style="168" customWidth="1"/>
    <col min="76" max="76" width="3" style="168" customWidth="1"/>
    <col min="77" max="78" width="2.25" style="168" customWidth="1"/>
    <col min="79" max="81" width="2.08203125" style="168" customWidth="1"/>
    <col min="82" max="82" width="2" style="168" customWidth="1"/>
    <col min="83" max="85" width="2.33203125" style="168" hidden="1" customWidth="1"/>
    <col min="86" max="86" width="3.08203125" style="168" hidden="1" customWidth="1"/>
    <col min="87" max="88" width="2.33203125" style="168" hidden="1" customWidth="1"/>
    <col min="89" max="92" width="2.33203125" style="168" customWidth="1"/>
    <col min="93" max="102" width="1.58203125" style="168" customWidth="1"/>
    <col min="103" max="16384" width="9" style="168"/>
  </cols>
  <sheetData>
    <row r="1" spans="1:88" ht="18" customHeight="1">
      <c r="B1" s="169" t="s">
        <v>2292</v>
      </c>
      <c r="M1" s="170"/>
      <c r="N1" s="1036" t="s">
        <v>2428</v>
      </c>
      <c r="O1" s="1036"/>
      <c r="P1" s="1036"/>
      <c r="Q1" s="1036"/>
      <c r="R1" s="1036"/>
      <c r="S1" s="1036"/>
      <c r="T1" s="1036"/>
      <c r="U1" s="1036"/>
      <c r="V1" s="1036"/>
      <c r="W1" s="1036"/>
      <c r="X1" s="1036"/>
      <c r="Y1" s="1036"/>
      <c r="Z1" s="1036"/>
      <c r="AA1" s="1036"/>
      <c r="AB1" s="1036"/>
      <c r="AC1" s="1036"/>
      <c r="AD1" s="1036"/>
      <c r="AE1" s="1036"/>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49" t="s">
        <v>2293</v>
      </c>
      <c r="C4" s="1049"/>
      <c r="D4" s="1049"/>
      <c r="E4" s="1049"/>
      <c r="F4" s="1049"/>
      <c r="G4" s="1049" t="s">
        <v>0</v>
      </c>
      <c r="H4" s="1049"/>
      <c r="I4" s="1049"/>
      <c r="J4" s="1047" t="s">
        <v>1</v>
      </c>
      <c r="K4" s="1047"/>
      <c r="L4" s="1047"/>
      <c r="M4" s="1047"/>
      <c r="N4" s="1047"/>
      <c r="O4" s="1047"/>
      <c r="P4" s="1050" t="s">
        <v>2162</v>
      </c>
      <c r="Q4" s="1051"/>
      <c r="R4" s="1051"/>
      <c r="S4" s="1052" t="s">
        <v>2</v>
      </c>
      <c r="T4" s="1053"/>
      <c r="U4" s="1053"/>
      <c r="V4" s="1053"/>
      <c r="W4" s="1053"/>
      <c r="X4" s="1053"/>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72" t="s">
        <v>2328</v>
      </c>
      <c r="C8" s="1073"/>
      <c r="D8" s="1073"/>
      <c r="E8" s="1073"/>
      <c r="F8" s="1073"/>
      <c r="G8" s="1073"/>
      <c r="H8" s="1073"/>
      <c r="I8" s="1073"/>
      <c r="J8" s="1073"/>
      <c r="K8" s="1073"/>
      <c r="L8" s="1073"/>
      <c r="M8" s="1073"/>
      <c r="N8" s="1073"/>
      <c r="O8" s="1073"/>
      <c r="P8" s="1073"/>
      <c r="Q8" s="1073"/>
      <c r="R8" s="1073"/>
      <c r="S8" s="1074"/>
      <c r="T8" s="976" t="s">
        <v>14</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2200</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2388</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2288</v>
      </c>
      <c r="C13" s="1102"/>
      <c r="D13" s="1102"/>
      <c r="E13" s="1102"/>
      <c r="F13" s="1102"/>
      <c r="G13" s="1102"/>
      <c r="H13" s="1102"/>
      <c r="I13" s="1102"/>
      <c r="J13" s="1102"/>
      <c r="K13" s="1102"/>
      <c r="L13" s="1102"/>
      <c r="M13" s="1102"/>
      <c r="N13" s="1102"/>
      <c r="O13" s="1102"/>
      <c r="P13" s="1102"/>
      <c r="Q13" s="1102"/>
      <c r="R13" s="1102"/>
      <c r="S13" s="1103"/>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2282</v>
      </c>
      <c r="C15" s="1093"/>
      <c r="D15" s="144">
        <v>6</v>
      </c>
      <c r="E15" s="197" t="s">
        <v>2283</v>
      </c>
      <c r="F15" s="144">
        <v>4</v>
      </c>
      <c r="G15" s="197" t="s">
        <v>2284</v>
      </c>
      <c r="H15" s="1094" t="s">
        <v>2285</v>
      </c>
      <c r="I15" s="1094"/>
      <c r="J15" s="1107"/>
      <c r="K15" s="144">
        <v>7</v>
      </c>
      <c r="L15" s="197" t="s">
        <v>2283</v>
      </c>
      <c r="M15" s="144">
        <v>3</v>
      </c>
      <c r="N15" s="197" t="s">
        <v>2284</v>
      </c>
      <c r="O15" s="197" t="s">
        <v>2286</v>
      </c>
      <c r="P15" s="198">
        <f>(K15*12+M15)-(D15*12+F15)+1</f>
        <v>12</v>
      </c>
      <c r="Q15" s="1094" t="s">
        <v>2287</v>
      </c>
      <c r="R15" s="1094"/>
      <c r="S15" s="199" t="s">
        <v>74</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2211</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3"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244</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49999999999999" customHeight="1">
      <c r="B21" s="1054" t="s">
        <v>2295</v>
      </c>
      <c r="C21" s="1055"/>
      <c r="D21" s="1055"/>
      <c r="E21" s="1055"/>
      <c r="F21" s="1056"/>
      <c r="G21" s="1040" t="s">
        <v>245</v>
      </c>
      <c r="H21" s="1041"/>
      <c r="I21" s="1041"/>
      <c r="J21" s="1041"/>
      <c r="K21" s="1041"/>
      <c r="L21" s="1041"/>
      <c r="M21" s="1041"/>
      <c r="N21" s="1041"/>
      <c r="O21" s="1041"/>
      <c r="P21" s="1041"/>
      <c r="Q21" s="1041"/>
      <c r="R21" s="1041"/>
      <c r="S21" s="1041"/>
      <c r="T21" s="1042"/>
      <c r="U21" s="212"/>
      <c r="V21" s="213" t="str">
        <f>IFERROR(IF(L9="ベア加算","✓",""),"")</f>
        <v/>
      </c>
      <c r="W21" s="963" t="s">
        <v>16</v>
      </c>
      <c r="X21" s="963"/>
      <c r="Y21" s="963"/>
      <c r="Z21" s="963"/>
      <c r="AA21" s="976" t="s">
        <v>14</v>
      </c>
      <c r="AB21" s="977"/>
      <c r="AC21" s="214"/>
      <c r="AD21" s="1037" t="s">
        <v>16</v>
      </c>
      <c r="AE21" s="1037"/>
      <c r="AF21" s="1037"/>
      <c r="AG21" s="1037"/>
      <c r="AH21" s="1037"/>
      <c r="AI21" s="976" t="s">
        <v>14</v>
      </c>
      <c r="AJ21" s="977"/>
      <c r="AK21" s="215"/>
      <c r="AL21" s="1037" t="s">
        <v>16</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49999999999999"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17</v>
      </c>
      <c r="X22" s="963"/>
      <c r="Y22" s="995"/>
      <c r="Z22" s="996"/>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2219</v>
      </c>
      <c r="C24" s="1055"/>
      <c r="D24" s="1055"/>
      <c r="E24" s="1055"/>
      <c r="F24" s="1056"/>
      <c r="G24" s="1040" t="s">
        <v>246</v>
      </c>
      <c r="H24" s="1041"/>
      <c r="I24" s="1041"/>
      <c r="J24" s="1041"/>
      <c r="K24" s="1041"/>
      <c r="L24" s="1041"/>
      <c r="M24" s="1041"/>
      <c r="N24" s="1041"/>
      <c r="O24" s="1041"/>
      <c r="P24" s="1041"/>
      <c r="Q24" s="1041"/>
      <c r="R24" s="1041"/>
      <c r="S24" s="1041"/>
      <c r="T24" s="1042"/>
      <c r="U24" s="212"/>
      <c r="V24" s="213" t="str">
        <f>IFERROR(IF(OR(B9="処遇加算Ⅰ",B9="処遇加算Ⅱ"),"✓",""),"")</f>
        <v/>
      </c>
      <c r="W24" s="1116" t="s">
        <v>2254</v>
      </c>
      <c r="X24" s="1117"/>
      <c r="Y24" s="1117"/>
      <c r="Z24" s="1118"/>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21</v>
      </c>
      <c r="X25" s="1117"/>
      <c r="Y25" s="1117"/>
      <c r="Z25" s="1118"/>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2255</v>
      </c>
      <c r="X26" s="1117"/>
      <c r="Y26" s="1117"/>
      <c r="Z26" s="1118"/>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2220</v>
      </c>
      <c r="C28" s="1055"/>
      <c r="D28" s="1055"/>
      <c r="E28" s="1055"/>
      <c r="F28" s="1056"/>
      <c r="G28" s="1041" t="s">
        <v>2217</v>
      </c>
      <c r="H28" s="1041"/>
      <c r="I28" s="1041"/>
      <c r="J28" s="1041"/>
      <c r="K28" s="1041"/>
      <c r="L28" s="1041"/>
      <c r="M28" s="1041"/>
      <c r="N28" s="1041"/>
      <c r="O28" s="1041"/>
      <c r="P28" s="1041"/>
      <c r="Q28" s="1041"/>
      <c r="R28" s="1041"/>
      <c r="S28" s="1041"/>
      <c r="T28" s="1042"/>
      <c r="U28" s="212"/>
      <c r="V28" s="213" t="str">
        <f>IFERROR(IF(OR(B9="処遇加算Ⅰ",B9="処遇加算Ⅱ"),"✓",""),"")</f>
        <v/>
      </c>
      <c r="W28" s="1116" t="s">
        <v>2254</v>
      </c>
      <c r="X28" s="1117"/>
      <c r="Y28" s="1117"/>
      <c r="Z28" s="1118"/>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21</v>
      </c>
      <c r="X29" s="1117"/>
      <c r="Y29" s="1117"/>
      <c r="Z29" s="1118"/>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2255</v>
      </c>
      <c r="X30" s="1117"/>
      <c r="Y30" s="1117"/>
      <c r="Z30" s="1118"/>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2221</v>
      </c>
      <c r="C32" s="1124"/>
      <c r="D32" s="1124"/>
      <c r="E32" s="1124"/>
      <c r="F32" s="1124"/>
      <c r="G32" s="993" t="s">
        <v>2218</v>
      </c>
      <c r="H32" s="993"/>
      <c r="I32" s="993"/>
      <c r="J32" s="993"/>
      <c r="K32" s="993"/>
      <c r="L32" s="993"/>
      <c r="M32" s="993"/>
      <c r="N32" s="993"/>
      <c r="O32" s="993"/>
      <c r="P32" s="993"/>
      <c r="Q32" s="993"/>
      <c r="R32" s="993"/>
      <c r="S32" s="993"/>
      <c r="T32" s="993"/>
      <c r="U32" s="212"/>
      <c r="V32" s="213" t="str">
        <f>IFERROR(IF(B9="処遇加算Ⅰ","✓",""),"")</f>
        <v/>
      </c>
      <c r="W32" s="994" t="s">
        <v>16</v>
      </c>
      <c r="X32" s="995"/>
      <c r="Y32" s="995"/>
      <c r="Z32" s="996"/>
      <c r="AA32" s="1028" t="s">
        <v>14</v>
      </c>
      <c r="AB32" s="977"/>
      <c r="AC32" s="214"/>
      <c r="AD32" s="965" t="s">
        <v>16</v>
      </c>
      <c r="AE32" s="965"/>
      <c r="AF32" s="965"/>
      <c r="AG32" s="965"/>
      <c r="AH32" s="965"/>
      <c r="AI32" s="1028"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17</v>
      </c>
      <c r="X33" s="995"/>
      <c r="Y33" s="995"/>
      <c r="Z33" s="996"/>
      <c r="AA33" s="1028"/>
      <c r="AB33" s="977"/>
      <c r="AC33" s="214"/>
      <c r="AD33" s="998" t="s">
        <v>19</v>
      </c>
      <c r="AE33" s="998"/>
      <c r="AF33" s="998"/>
      <c r="AG33" s="998"/>
      <c r="AH33" s="998"/>
      <c r="AI33" s="1028"/>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17</v>
      </c>
      <c r="AE34" s="963"/>
      <c r="AF34" s="963"/>
      <c r="AG34" s="963"/>
      <c r="AH34" s="963"/>
      <c r="AI34" s="1028"/>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49999999999999" customHeight="1">
      <c r="B36" s="1124" t="s">
        <v>2222</v>
      </c>
      <c r="C36" s="1124"/>
      <c r="D36" s="1124"/>
      <c r="E36" s="1124"/>
      <c r="F36" s="1124"/>
      <c r="G36" s="997" t="s">
        <v>2263</v>
      </c>
      <c r="H36" s="997"/>
      <c r="I36" s="997"/>
      <c r="J36" s="997"/>
      <c r="K36" s="997"/>
      <c r="L36" s="997"/>
      <c r="M36" s="997"/>
      <c r="N36" s="997"/>
      <c r="O36" s="997"/>
      <c r="P36" s="997"/>
      <c r="Q36" s="997"/>
      <c r="R36" s="997"/>
      <c r="S36" s="997"/>
      <c r="T36" s="997"/>
      <c r="U36" s="212"/>
      <c r="V36" s="213" t="str">
        <f>IFERROR(IF(OR(G9="特定加算Ⅰ",G9="特定加算Ⅱ"),"✓",""),"")</f>
        <v/>
      </c>
      <c r="W36" s="994" t="s">
        <v>16</v>
      </c>
      <c r="X36" s="995"/>
      <c r="Y36" s="995"/>
      <c r="Z36" s="996"/>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17</v>
      </c>
      <c r="X37" s="995"/>
      <c r="Y37" s="995"/>
      <c r="Z37" s="996"/>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49999999999999"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49999999999999" customHeight="1">
      <c r="B40" s="1124" t="s">
        <v>2223</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16</v>
      </c>
      <c r="X40" s="995"/>
      <c r="Y40" s="995"/>
      <c r="Z40" s="996"/>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17</v>
      </c>
      <c r="X41" s="995"/>
      <c r="Y41" s="995"/>
      <c r="Z41" s="996"/>
      <c r="AA41" s="976"/>
      <c r="AB41" s="977"/>
      <c r="AC41" s="225" t="s">
        <v>90</v>
      </c>
      <c r="AD41" s="1005"/>
      <c r="AE41" s="1006"/>
      <c r="AF41" s="1006"/>
      <c r="AG41" s="1006"/>
      <c r="AH41" s="1007"/>
      <c r="AI41" s="976"/>
      <c r="AJ41" s="977"/>
      <c r="AK41" s="225" t="s">
        <v>90</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49999999999999"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49999999999999" customHeight="1">
      <c r="B44" s="1124" t="s">
        <v>2224</v>
      </c>
      <c r="C44" s="1124"/>
      <c r="D44" s="1124"/>
      <c r="E44" s="1124"/>
      <c r="F44" s="1124"/>
      <c r="G44" s="993" t="s">
        <v>2161</v>
      </c>
      <c r="H44" s="993"/>
      <c r="I44" s="993"/>
      <c r="J44" s="993"/>
      <c r="K44" s="993"/>
      <c r="L44" s="993"/>
      <c r="M44" s="993"/>
      <c r="N44" s="993"/>
      <c r="O44" s="993"/>
      <c r="P44" s="993"/>
      <c r="Q44" s="993"/>
      <c r="R44" s="993"/>
      <c r="S44" s="993"/>
      <c r="T44" s="993"/>
      <c r="U44" s="212"/>
      <c r="V44" s="213" t="str">
        <f>IFERROR(IF(OR(G9="特定加算Ⅰ",G9="特定加算Ⅱ"),"✓",""),"")</f>
        <v/>
      </c>
      <c r="W44" s="994" t="s">
        <v>16</v>
      </c>
      <c r="X44" s="995"/>
      <c r="Y44" s="995"/>
      <c r="Z44" s="996"/>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49999999999999"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17</v>
      </c>
      <c r="X45" s="995"/>
      <c r="Y45" s="995"/>
      <c r="Z45" s="996"/>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2317</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3"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14</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12</v>
      </c>
      <c r="W49" s="1115"/>
      <c r="X49" s="1115"/>
      <c r="Y49" s="1115"/>
      <c r="Z49" s="1115"/>
      <c r="AA49" s="1028"/>
      <c r="AB49" s="1028"/>
      <c r="AC49" s="1008" t="str">
        <f>IFERROR(VLOOKUP(BE48,【参考】数式用2!E6:F23,2,FALSE),"")</f>
        <v/>
      </c>
      <c r="AD49" s="1009"/>
      <c r="AE49" s="1009"/>
      <c r="AF49" s="1009"/>
      <c r="AG49" s="1009"/>
      <c r="AH49" s="1010"/>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001" t="str">
        <f>IFERROR(ROUNDDOWN(ROUND(AM5*G50,0)*P5,0)*H53,"")</f>
        <v/>
      </c>
      <c r="H51" s="1001"/>
      <c r="I51" s="1001"/>
      <c r="J51" s="1001"/>
      <c r="K51" s="145" t="s">
        <v>2289</v>
      </c>
      <c r="L51" s="1000" t="str">
        <f>IFERROR(ROUNDDOWN(ROUND(AM5*L50,0)*P5,0)*H53,"")</f>
        <v/>
      </c>
      <c r="M51" s="1001"/>
      <c r="N51" s="1001"/>
      <c r="O51" s="1001"/>
      <c r="P51" s="145" t="s">
        <v>2289</v>
      </c>
      <c r="Q51" s="1000" t="str">
        <f>IFERROR(ROUNDDOWN(ROUND(AM5*Q50,0)*P5,0)*H53,"")</f>
        <v/>
      </c>
      <c r="R51" s="1001"/>
      <c r="S51" s="1001"/>
      <c r="T51" s="1001"/>
      <c r="U51" s="146" t="s">
        <v>2289</v>
      </c>
      <c r="V51" s="1108">
        <f>IFERROR(SUM(G51,L51,Q51),"")</f>
        <v>0</v>
      </c>
      <c r="W51" s="1109"/>
      <c r="X51" s="1109"/>
      <c r="Y51" s="1109"/>
      <c r="Z51" s="147" t="s">
        <v>2289</v>
      </c>
      <c r="AB51" s="148"/>
      <c r="AC51" s="1000" t="str">
        <f>IFERROR(ROUNDDOWN(ROUND(AM5*AC50,0)*P5,0)*AD53,"")</f>
        <v/>
      </c>
      <c r="AD51" s="1001"/>
      <c r="AE51" s="1001"/>
      <c r="AF51" s="1001"/>
      <c r="AG51" s="1001"/>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2420</v>
      </c>
      <c r="AT56" s="989"/>
      <c r="AU56" s="989"/>
      <c r="AV56" s="989"/>
      <c r="AW56" s="989" t="s">
        <v>2419</v>
      </c>
      <c r="AX56" s="989"/>
      <c r="AY56" s="989"/>
      <c r="AZ56" s="989"/>
    </row>
    <row r="57" spans="2:82" ht="16"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6" customHeight="1">
      <c r="U58" s="992" t="s">
        <v>2204</v>
      </c>
      <c r="V58" s="992"/>
      <c r="W58" s="992"/>
      <c r="X58" s="992"/>
      <c r="Y58" s="992"/>
      <c r="Z58" s="243" t="str">
        <f>IF(AND(B9&lt;&gt;"処遇加算なし",F15=4),IF(V24="✓",1,IF(V25="✓",2,IF(V26="✓",3,""))),"")</f>
        <v/>
      </c>
      <c r="AA58" s="236"/>
      <c r="AB58" s="240"/>
      <c r="AC58" s="992" t="s">
        <v>2204</v>
      </c>
      <c r="AD58" s="992"/>
      <c r="AE58" s="992"/>
      <c r="AF58" s="992"/>
      <c r="AG58" s="992"/>
      <c r="AH58" s="167">
        <f>IF(AND(F15&lt;&gt;4,F15&lt;&gt;5),0,IF(AU8="○",1,3))</f>
        <v>3</v>
      </c>
      <c r="AI58" s="240"/>
      <c r="AJ58" s="240"/>
      <c r="AK58" s="992" t="s">
        <v>2204</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6" customHeight="1">
      <c r="U59" s="992" t="s">
        <v>2205</v>
      </c>
      <c r="V59" s="992"/>
      <c r="W59" s="992"/>
      <c r="X59" s="992"/>
      <c r="Y59" s="992"/>
      <c r="Z59" s="243" t="str">
        <f>IF(AND(B9&lt;&gt;"処遇加算なし",F15=4),IF(V28="✓",1,IF(V29="✓",2,IF(V30="✓",3,""))),"")</f>
        <v/>
      </c>
      <c r="AA59" s="236"/>
      <c r="AB59" s="240"/>
      <c r="AC59" s="992" t="s">
        <v>2205</v>
      </c>
      <c r="AD59" s="992"/>
      <c r="AE59" s="992"/>
      <c r="AF59" s="992"/>
      <c r="AG59" s="992"/>
      <c r="AH59" s="167">
        <f>IF(AND(F15&lt;&gt;4,F15&lt;&gt;5),0,IF(AV8="○",1,3))</f>
        <v>3</v>
      </c>
      <c r="AI59" s="240"/>
      <c r="AJ59" s="240"/>
      <c r="AK59" s="992" t="s">
        <v>2205</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6" customHeight="1">
      <c r="U60" s="992" t="s">
        <v>2206</v>
      </c>
      <c r="V60" s="992"/>
      <c r="W60" s="992"/>
      <c r="X60" s="992"/>
      <c r="Y60" s="992"/>
      <c r="Z60" s="243" t="str">
        <f>IF(AND(B9&lt;&gt;"処遇加算なし",F15=4),IF(V32="✓",1,IF(V33="✓",2,"")),"")</f>
        <v/>
      </c>
      <c r="AA60" s="236"/>
      <c r="AB60" s="240"/>
      <c r="AC60" s="992" t="s">
        <v>2206</v>
      </c>
      <c r="AD60" s="992"/>
      <c r="AE60" s="992"/>
      <c r="AF60" s="992"/>
      <c r="AG60" s="992"/>
      <c r="AH60" s="167">
        <f>IF(AND(F15&lt;&gt;4,F15&lt;&gt;5),0,IF(AW8="○",1,3))</f>
        <v>3</v>
      </c>
      <c r="AI60" s="240"/>
      <c r="AJ60" s="240"/>
      <c r="AK60" s="992" t="s">
        <v>2206</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6" customHeight="1">
      <c r="U61" s="992" t="s">
        <v>2207</v>
      </c>
      <c r="V61" s="992"/>
      <c r="W61" s="992"/>
      <c r="X61" s="992"/>
      <c r="Y61" s="992"/>
      <c r="Z61" s="243" t="str">
        <f>IF(AND(B9&lt;&gt;"処遇加算なし",F15=4),IF(V36="✓",1,IF(V37="✓",2,"")),"")</f>
        <v/>
      </c>
      <c r="AA61" s="236"/>
      <c r="AB61" s="240"/>
      <c r="AC61" s="992" t="s">
        <v>2207</v>
      </c>
      <c r="AD61" s="992"/>
      <c r="AE61" s="992"/>
      <c r="AF61" s="992"/>
      <c r="AG61" s="992"/>
      <c r="AH61" s="167">
        <f>IF(AND(F15&lt;&gt;4,F15&lt;&gt;5),0,IF(AX8="○",1,2))</f>
        <v>2</v>
      </c>
      <c r="AI61" s="240"/>
      <c r="AJ61" s="240"/>
      <c r="AK61" s="992" t="s">
        <v>2207</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6" customHeight="1">
      <c r="U62" s="992" t="s">
        <v>2208</v>
      </c>
      <c r="V62" s="992"/>
      <c r="W62" s="992"/>
      <c r="X62" s="992"/>
      <c r="Y62" s="992"/>
      <c r="Z62" s="243" t="str">
        <f>IF(AND(B9&lt;&gt;"処遇加算なし",F15=4),IF(V40="✓",1,IF(V41="✓",2,"")),"")</f>
        <v/>
      </c>
      <c r="AA62" s="236"/>
      <c r="AB62" s="240"/>
      <c r="AC62" s="992" t="s">
        <v>2208</v>
      </c>
      <c r="AD62" s="992"/>
      <c r="AE62" s="992"/>
      <c r="AF62" s="992"/>
      <c r="AG62" s="992"/>
      <c r="AH62" s="167">
        <f>IF(AND(F15&lt;&gt;4,F15&lt;&gt;5),0,IF(AY8="○",1,2))</f>
        <v>2</v>
      </c>
      <c r="AI62" s="240"/>
      <c r="AJ62" s="240"/>
      <c r="AK62" s="992" t="s">
        <v>2208</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6"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6" customHeight="1">
      <c r="BD64" s="193"/>
      <c r="BE64" s="193"/>
      <c r="BF64" s="193"/>
      <c r="BG64" s="193"/>
      <c r="BH64" s="193"/>
      <c r="BI64" s="193"/>
      <c r="BJ64" s="193"/>
      <c r="BK64" s="193"/>
      <c r="BL64" s="193"/>
      <c r="BM64" s="193"/>
      <c r="BN64" s="193"/>
      <c r="BO64" s="193"/>
      <c r="BP64" s="193"/>
      <c r="BQ64" s="193"/>
      <c r="BR64" s="193"/>
      <c r="BS64" s="193"/>
      <c r="BT64" s="193"/>
    </row>
    <row r="65" spans="20:59" ht="16" customHeight="1">
      <c r="BG65" s="193"/>
    </row>
    <row r="66" spans="20:59" ht="16" customHeight="1"/>
    <row r="67" spans="20:59" ht="16" customHeight="1">
      <c r="T67" s="168">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杉村　育真</cp:lastModifiedBy>
  <cp:lastPrinted>2024-03-11T13:42:51Z</cp:lastPrinted>
  <dcterms:created xsi:type="dcterms:W3CDTF">2015-06-05T18:19:34Z</dcterms:created>
  <dcterms:modified xsi:type="dcterms:W3CDTF">2024-03-28T01:18:50Z</dcterms:modified>
</cp:coreProperties>
</file>